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Societario\PROCESSOS\2. FALENCIA\Supermercado Riachuelo\QGC\"/>
    </mc:Choice>
  </mc:AlternateContent>
  <xr:revisionPtr revIDLastSave="0" documentId="13_ncr:1_{7756AEC8-32C6-4E5F-9B40-68F876FCCE28}" xr6:coauthVersionLast="47" xr6:coauthVersionMax="47" xr10:uidLastSave="{00000000-0000-0000-0000-000000000000}"/>
  <bookViews>
    <workbookView xWindow="-98" yWindow="-98" windowWidth="19396" windowHeight="11475" firstSheet="2" activeTab="7" xr2:uid="{00000000-000D-0000-FFFF-FFFF00000000}"/>
  </bookViews>
  <sheets>
    <sheet name="Plan1" sheetId="1" r:id="rId1"/>
    <sheet name="Resumo" sheetId="5" r:id="rId2"/>
    <sheet name="QGC - AJ" sheetId="11" r:id="rId3"/>
    <sheet name="QGC 29.05.26" sheetId="15" r:id="rId4"/>
    <sheet name="QGC 11.08.26" sheetId="16" r:id="rId5"/>
    <sheet name="PMJ" sheetId="17" r:id="rId6"/>
    <sheet name="INPC" sheetId="12" r:id="rId7"/>
    <sheet name="Pref-Trabalhistas" sheetId="14" r:id="rId8"/>
    <sheet name="Pref-Fiscal" sheetId="9" r:id="rId9"/>
    <sheet name="Pref-EncargoMassa" sheetId="10" r:id="rId10"/>
    <sheet name="Credores Quirografarios " sheetId="4" r:id="rId11"/>
    <sheet name="Multa" sheetId="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4" l="1"/>
  <c r="E6" i="14"/>
  <c r="E7" i="14"/>
  <c r="E8" i="14"/>
  <c r="E5" i="14"/>
  <c r="E11" i="14" s="1"/>
  <c r="D9" i="14"/>
  <c r="D6" i="14"/>
  <c r="D7" i="14"/>
  <c r="D8" i="14"/>
  <c r="D5" i="14"/>
  <c r="L11" i="17"/>
  <c r="K11" i="17"/>
  <c r="J11" i="17"/>
  <c r="J6" i="17"/>
  <c r="K6" i="17"/>
  <c r="L6" i="17"/>
  <c r="J7" i="17"/>
  <c r="K7" i="17"/>
  <c r="L7" i="17"/>
  <c r="J8" i="17"/>
  <c r="K8" i="17"/>
  <c r="L8" i="17"/>
  <c r="J9" i="17"/>
  <c r="K9" i="17" s="1"/>
  <c r="J10" i="17"/>
  <c r="K10" i="17"/>
  <c r="L10" i="17"/>
  <c r="L5" i="17"/>
  <c r="K5" i="17"/>
  <c r="J5" i="17"/>
  <c r="I10" i="17"/>
  <c r="I9" i="17"/>
  <c r="I8" i="17"/>
  <c r="I7" i="17"/>
  <c r="I6" i="17"/>
  <c r="I5" i="17"/>
  <c r="E49" i="12"/>
  <c r="E48" i="12" s="1"/>
  <c r="E47" i="12" s="1"/>
  <c r="E46" i="12" s="1"/>
  <c r="E45" i="12" s="1"/>
  <c r="E44" i="12" s="1"/>
  <c r="E43" i="12" s="1"/>
  <c r="E42" i="12" s="1"/>
  <c r="E41" i="12" s="1"/>
  <c r="E40" i="12" s="1"/>
  <c r="E39" i="12" s="1"/>
  <c r="E38" i="12" s="1"/>
  <c r="E37" i="12" s="1"/>
  <c r="E36" i="12" s="1"/>
  <c r="E35" i="12" s="1"/>
  <c r="E34" i="12" s="1"/>
  <c r="E33" i="12" s="1"/>
  <c r="E32" i="12" s="1"/>
  <c r="E31" i="12" s="1"/>
  <c r="E30" i="12" s="1"/>
  <c r="E29" i="12" s="1"/>
  <c r="E28" i="12" s="1"/>
  <c r="E27" i="12" s="1"/>
  <c r="E26" i="12" s="1"/>
  <c r="E25" i="12" s="1"/>
  <c r="E24" i="12" s="1"/>
  <c r="E23" i="12" s="1"/>
  <c r="E22" i="12" s="1"/>
  <c r="E21" i="12" s="1"/>
  <c r="E20" i="12" s="1"/>
  <c r="E19" i="12" s="1"/>
  <c r="E18" i="12" s="1"/>
  <c r="E17" i="12" s="1"/>
  <c r="E16" i="12" s="1"/>
  <c r="E15" i="12" s="1"/>
  <c r="E14" i="12" s="1"/>
  <c r="E13" i="12" s="1"/>
  <c r="E12" i="12" s="1"/>
  <c r="E11" i="12" s="1"/>
  <c r="E10" i="12" s="1"/>
  <c r="E9" i="12" s="1"/>
  <c r="E8" i="12" s="1"/>
  <c r="E7" i="12" s="1"/>
  <c r="E6" i="12" s="1"/>
  <c r="E5" i="12" s="1"/>
  <c r="E4" i="12" s="1"/>
  <c r="E3" i="12" s="1"/>
  <c r="E2" i="12" s="1"/>
  <c r="E50" i="12"/>
  <c r="E217" i="12"/>
  <c r="E216" i="12" s="1"/>
  <c r="E215" i="12" s="1"/>
  <c r="E214" i="12" s="1"/>
  <c r="E213" i="12" s="1"/>
  <c r="E212" i="12" s="1"/>
  <c r="E211" i="12" s="1"/>
  <c r="E210" i="12" s="1"/>
  <c r="E209" i="12" s="1"/>
  <c r="E208" i="12" s="1"/>
  <c r="E207" i="12" s="1"/>
  <c r="E206" i="12" s="1"/>
  <c r="E205" i="12" s="1"/>
  <c r="E204" i="12" s="1"/>
  <c r="E203" i="12" s="1"/>
  <c r="E202" i="12" s="1"/>
  <c r="E201" i="12" s="1"/>
  <c r="E200" i="12" s="1"/>
  <c r="E199" i="12" s="1"/>
  <c r="E198" i="12" s="1"/>
  <c r="E197" i="12" s="1"/>
  <c r="E196" i="12" s="1"/>
  <c r="E195" i="12" s="1"/>
  <c r="E194" i="12" s="1"/>
  <c r="E193" i="12" s="1"/>
  <c r="E192" i="12" s="1"/>
  <c r="E191" i="12" s="1"/>
  <c r="E190" i="12" s="1"/>
  <c r="E189" i="12" s="1"/>
  <c r="E188" i="12" s="1"/>
  <c r="E187" i="12" s="1"/>
  <c r="E186" i="12" s="1"/>
  <c r="E185" i="12" s="1"/>
  <c r="E184" i="12" s="1"/>
  <c r="E183" i="12" s="1"/>
  <c r="E182" i="12" s="1"/>
  <c r="E181" i="12" s="1"/>
  <c r="E180" i="12" s="1"/>
  <c r="E179" i="12" s="1"/>
  <c r="E178" i="12" s="1"/>
  <c r="E177" i="12" s="1"/>
  <c r="E176" i="12" s="1"/>
  <c r="E175" i="12" s="1"/>
  <c r="E174" i="12" s="1"/>
  <c r="E173" i="12" s="1"/>
  <c r="E172" i="12" s="1"/>
  <c r="E171" i="12" s="1"/>
  <c r="E170" i="12" s="1"/>
  <c r="E169" i="12" s="1"/>
  <c r="E168" i="12" s="1"/>
  <c r="E167" i="12" s="1"/>
  <c r="E166" i="12" s="1"/>
  <c r="E165" i="12" s="1"/>
  <c r="E164" i="12" s="1"/>
  <c r="E163" i="12" s="1"/>
  <c r="E162" i="12" s="1"/>
  <c r="E161" i="12" s="1"/>
  <c r="E160" i="12" s="1"/>
  <c r="E159" i="12" s="1"/>
  <c r="E158" i="12" s="1"/>
  <c r="E157" i="12" s="1"/>
  <c r="E156" i="12" s="1"/>
  <c r="E155" i="12" s="1"/>
  <c r="E154" i="12" s="1"/>
  <c r="E153" i="12" s="1"/>
  <c r="E152" i="12" s="1"/>
  <c r="E151" i="12" s="1"/>
  <c r="E150" i="12" s="1"/>
  <c r="E149" i="12" s="1"/>
  <c r="E148" i="12" s="1"/>
  <c r="E147" i="12" s="1"/>
  <c r="E146" i="12" s="1"/>
  <c r="E145" i="12" s="1"/>
  <c r="E144" i="12" s="1"/>
  <c r="E143" i="12" s="1"/>
  <c r="E142" i="12" s="1"/>
  <c r="E141" i="12" s="1"/>
  <c r="E140" i="12" s="1"/>
  <c r="E139" i="12" s="1"/>
  <c r="E138" i="12" s="1"/>
  <c r="E137" i="12" s="1"/>
  <c r="E136" i="12" s="1"/>
  <c r="E135" i="12" s="1"/>
  <c r="E134" i="12" s="1"/>
  <c r="E133" i="12" s="1"/>
  <c r="E132" i="12" s="1"/>
  <c r="E131" i="12" s="1"/>
  <c r="E130" i="12" s="1"/>
  <c r="E129" i="12" s="1"/>
  <c r="E128" i="12" s="1"/>
  <c r="E127" i="12" s="1"/>
  <c r="E126" i="12" s="1"/>
  <c r="E125" i="12" s="1"/>
  <c r="E124" i="12" s="1"/>
  <c r="E123" i="12" s="1"/>
  <c r="E122" i="12" s="1"/>
  <c r="E121" i="12" s="1"/>
  <c r="E120" i="12" s="1"/>
  <c r="E119" i="12" s="1"/>
  <c r="E118" i="12" s="1"/>
  <c r="E117" i="12" s="1"/>
  <c r="E116" i="12" s="1"/>
  <c r="E115" i="12" s="1"/>
  <c r="E114" i="12" s="1"/>
  <c r="E113" i="12" s="1"/>
  <c r="E112" i="12" s="1"/>
  <c r="E111" i="12" s="1"/>
  <c r="E110" i="12" s="1"/>
  <c r="E109" i="12" s="1"/>
  <c r="E108" i="12" s="1"/>
  <c r="E107" i="12" s="1"/>
  <c r="E106" i="12" s="1"/>
  <c r="E105" i="12" s="1"/>
  <c r="E104" i="12" s="1"/>
  <c r="E103" i="12" s="1"/>
  <c r="E102" i="12" s="1"/>
  <c r="E101" i="12" s="1"/>
  <c r="E100" i="12" s="1"/>
  <c r="E99" i="12" s="1"/>
  <c r="E98" i="12" s="1"/>
  <c r="E97" i="12" s="1"/>
  <c r="E96" i="12" s="1"/>
  <c r="E95" i="12" s="1"/>
  <c r="E94" i="12" s="1"/>
  <c r="E93" i="12" s="1"/>
  <c r="E92" i="12" s="1"/>
  <c r="E91" i="12" s="1"/>
  <c r="E90" i="12" s="1"/>
  <c r="E89" i="12" s="1"/>
  <c r="E88" i="12" s="1"/>
  <c r="E87" i="12" s="1"/>
  <c r="E86" i="12" s="1"/>
  <c r="E85" i="12" s="1"/>
  <c r="E84" i="12" s="1"/>
  <c r="E83" i="12" s="1"/>
  <c r="E82" i="12" s="1"/>
  <c r="E81" i="12" s="1"/>
  <c r="E80" i="12" s="1"/>
  <c r="E79" i="12" s="1"/>
  <c r="E78" i="12" s="1"/>
  <c r="E77" i="12" s="1"/>
  <c r="E76" i="12" s="1"/>
  <c r="E75" i="12" s="1"/>
  <c r="E74" i="12" s="1"/>
  <c r="E73" i="12" s="1"/>
  <c r="E72" i="12" s="1"/>
  <c r="E71" i="12" s="1"/>
  <c r="E70" i="12" s="1"/>
  <c r="E69" i="12" s="1"/>
  <c r="E68" i="12" s="1"/>
  <c r="E67" i="12" s="1"/>
  <c r="E66" i="12" s="1"/>
  <c r="E65" i="12" s="1"/>
  <c r="E64" i="12" s="1"/>
  <c r="E63" i="12" s="1"/>
  <c r="E62" i="12" s="1"/>
  <c r="E61" i="12" s="1"/>
  <c r="E60" i="12" s="1"/>
  <c r="E59" i="12" s="1"/>
  <c r="E58" i="12" s="1"/>
  <c r="E57" i="12" s="1"/>
  <c r="E56" i="12" s="1"/>
  <c r="E55" i="12" s="1"/>
  <c r="E54" i="12" s="1"/>
  <c r="E53" i="12" s="1"/>
  <c r="E52" i="12" s="1"/>
  <c r="E218" i="12"/>
  <c r="E226" i="12"/>
  <c r="E225" i="12" s="1"/>
  <c r="E224" i="12" s="1"/>
  <c r="E223" i="12" s="1"/>
  <c r="E222" i="12" s="1"/>
  <c r="E221" i="12" s="1"/>
  <c r="E220" i="12" s="1"/>
  <c r="E219" i="12" s="1"/>
  <c r="E284" i="12"/>
  <c r="E283" i="12" s="1"/>
  <c r="E282" i="12" s="1"/>
  <c r="E281" i="12" s="1"/>
  <c r="E280" i="12" s="1"/>
  <c r="E279" i="12" s="1"/>
  <c r="E278" i="12" s="1"/>
  <c r="E277" i="12" s="1"/>
  <c r="E276" i="12" s="1"/>
  <c r="E275" i="12" s="1"/>
  <c r="E274" i="12" s="1"/>
  <c r="E273" i="12" s="1"/>
  <c r="E272" i="12" s="1"/>
  <c r="E271" i="12" s="1"/>
  <c r="E270" i="12" s="1"/>
  <c r="E269" i="12" s="1"/>
  <c r="E268" i="12" s="1"/>
  <c r="E267" i="12" s="1"/>
  <c r="E266" i="12" s="1"/>
  <c r="E265" i="12" s="1"/>
  <c r="E264" i="12" s="1"/>
  <c r="E263" i="12" s="1"/>
  <c r="E262" i="12" s="1"/>
  <c r="E261" i="12" s="1"/>
  <c r="E260" i="12" s="1"/>
  <c r="E259" i="12" s="1"/>
  <c r="E258" i="12" s="1"/>
  <c r="E257" i="12" s="1"/>
  <c r="E256" i="12" s="1"/>
  <c r="E255" i="12" s="1"/>
  <c r="E254" i="12" s="1"/>
  <c r="E253" i="12" s="1"/>
  <c r="E252" i="12" s="1"/>
  <c r="E251" i="12" s="1"/>
  <c r="E250" i="12" s="1"/>
  <c r="E249" i="12" s="1"/>
  <c r="E248" i="12" s="1"/>
  <c r="E247" i="12" s="1"/>
  <c r="E246" i="12" s="1"/>
  <c r="E245" i="12" s="1"/>
  <c r="E244" i="12" s="1"/>
  <c r="E243" i="12" s="1"/>
  <c r="E242" i="12" s="1"/>
  <c r="E241" i="12" s="1"/>
  <c r="E240" i="12" s="1"/>
  <c r="E239" i="12" s="1"/>
  <c r="E238" i="12" s="1"/>
  <c r="E237" i="12" s="1"/>
  <c r="E236" i="12" s="1"/>
  <c r="E235" i="12" s="1"/>
  <c r="E234" i="12" s="1"/>
  <c r="E233" i="12" s="1"/>
  <c r="E232" i="12" s="1"/>
  <c r="E231" i="12" s="1"/>
  <c r="E230" i="12" s="1"/>
  <c r="E229" i="12" s="1"/>
  <c r="E228" i="12" s="1"/>
  <c r="E227" i="12" s="1"/>
  <c r="E430" i="12"/>
  <c r="E429" i="12" s="1"/>
  <c r="E428" i="12" s="1"/>
  <c r="E427" i="12" s="1"/>
  <c r="E426" i="12" s="1"/>
  <c r="E425" i="12" s="1"/>
  <c r="E424" i="12" s="1"/>
  <c r="E423" i="12" s="1"/>
  <c r="E422" i="12" s="1"/>
  <c r="E421" i="12" s="1"/>
  <c r="E420" i="12" s="1"/>
  <c r="E419" i="12" s="1"/>
  <c r="E418" i="12" s="1"/>
  <c r="E417" i="12" s="1"/>
  <c r="E416" i="12" s="1"/>
  <c r="E415" i="12" s="1"/>
  <c r="E414" i="12" s="1"/>
  <c r="E413" i="12" s="1"/>
  <c r="E412" i="12" s="1"/>
  <c r="E411" i="12" s="1"/>
  <c r="E410" i="12" s="1"/>
  <c r="E409" i="12" s="1"/>
  <c r="E408" i="12" s="1"/>
  <c r="E407" i="12" s="1"/>
  <c r="E406" i="12" s="1"/>
  <c r="E405" i="12" s="1"/>
  <c r="E404" i="12" s="1"/>
  <c r="E403" i="12" s="1"/>
  <c r="E402" i="12" s="1"/>
  <c r="E401" i="12" s="1"/>
  <c r="E400" i="12" s="1"/>
  <c r="E399" i="12" s="1"/>
  <c r="E398" i="12" s="1"/>
  <c r="E397" i="12" s="1"/>
  <c r="E396" i="12" s="1"/>
  <c r="E395" i="12" s="1"/>
  <c r="E394" i="12" s="1"/>
  <c r="E393" i="12" s="1"/>
  <c r="E392" i="12" s="1"/>
  <c r="E391" i="12" s="1"/>
  <c r="E390" i="12" s="1"/>
  <c r="E389" i="12" s="1"/>
  <c r="E388" i="12" s="1"/>
  <c r="E387" i="12" s="1"/>
  <c r="E386" i="12" s="1"/>
  <c r="E385" i="12" s="1"/>
  <c r="E384" i="12" s="1"/>
  <c r="E383" i="12" s="1"/>
  <c r="E382" i="12" s="1"/>
  <c r="E381" i="12" s="1"/>
  <c r="E380" i="12" s="1"/>
  <c r="E379" i="12" s="1"/>
  <c r="E378" i="12" s="1"/>
  <c r="E377" i="12" s="1"/>
  <c r="E376" i="12" s="1"/>
  <c r="E375" i="12" s="1"/>
  <c r="E374" i="12" s="1"/>
  <c r="E373" i="12" s="1"/>
  <c r="E372" i="12" s="1"/>
  <c r="E371" i="12" s="1"/>
  <c r="E370" i="12" s="1"/>
  <c r="E369" i="12" s="1"/>
  <c r="E368" i="12" s="1"/>
  <c r="E367" i="12" s="1"/>
  <c r="E366" i="12" s="1"/>
  <c r="E365" i="12" s="1"/>
  <c r="E364" i="12" s="1"/>
  <c r="E363" i="12" s="1"/>
  <c r="E362" i="12" s="1"/>
  <c r="E361" i="12" s="1"/>
  <c r="E360" i="12" s="1"/>
  <c r="E359" i="12" s="1"/>
  <c r="E358" i="12" s="1"/>
  <c r="E357" i="12" s="1"/>
  <c r="E356" i="12" s="1"/>
  <c r="E355" i="12" s="1"/>
  <c r="E354" i="12" s="1"/>
  <c r="E353" i="12" s="1"/>
  <c r="E352" i="12" s="1"/>
  <c r="E351" i="12" s="1"/>
  <c r="E350" i="12" s="1"/>
  <c r="E349" i="12" s="1"/>
  <c r="E348" i="12" s="1"/>
  <c r="E347" i="12" s="1"/>
  <c r="E346" i="12" s="1"/>
  <c r="E345" i="12" s="1"/>
  <c r="E344" i="12" s="1"/>
  <c r="E343" i="12" s="1"/>
  <c r="E342" i="12" s="1"/>
  <c r="E341" i="12" s="1"/>
  <c r="E340" i="12" s="1"/>
  <c r="E339" i="12" s="1"/>
  <c r="E338" i="12" s="1"/>
  <c r="E337" i="12" s="1"/>
  <c r="E336" i="12" s="1"/>
  <c r="E335" i="12" s="1"/>
  <c r="E334" i="12" s="1"/>
  <c r="E333" i="12" s="1"/>
  <c r="E332" i="12" s="1"/>
  <c r="E331" i="12" s="1"/>
  <c r="E330" i="12" s="1"/>
  <c r="E329" i="12" s="1"/>
  <c r="E328" i="12" s="1"/>
  <c r="E327" i="12" s="1"/>
  <c r="E326" i="12" s="1"/>
  <c r="E325" i="12" s="1"/>
  <c r="E324" i="12" s="1"/>
  <c r="E323" i="12" s="1"/>
  <c r="E322" i="12" s="1"/>
  <c r="E321" i="12" s="1"/>
  <c r="E320" i="12" s="1"/>
  <c r="E319" i="12" s="1"/>
  <c r="E318" i="12" s="1"/>
  <c r="E317" i="12" s="1"/>
  <c r="E316" i="12" s="1"/>
  <c r="E315" i="12" s="1"/>
  <c r="E314" i="12" s="1"/>
  <c r="E313" i="12" s="1"/>
  <c r="E312" i="12" s="1"/>
  <c r="E311" i="12" s="1"/>
  <c r="E310" i="12" s="1"/>
  <c r="E309" i="12" s="1"/>
  <c r="E308" i="12" s="1"/>
  <c r="E307" i="12" s="1"/>
  <c r="E306" i="12" s="1"/>
  <c r="E305" i="12" s="1"/>
  <c r="E304" i="12" s="1"/>
  <c r="E303" i="12" s="1"/>
  <c r="E302" i="12" s="1"/>
  <c r="E301" i="12" s="1"/>
  <c r="E300" i="12" s="1"/>
  <c r="E299" i="12" s="1"/>
  <c r="E298" i="12" s="1"/>
  <c r="E297" i="12" s="1"/>
  <c r="E296" i="12" s="1"/>
  <c r="E295" i="12" s="1"/>
  <c r="E294" i="12" s="1"/>
  <c r="E293" i="12" s="1"/>
  <c r="E292" i="12" s="1"/>
  <c r="E291" i="12" s="1"/>
  <c r="E290" i="12" s="1"/>
  <c r="E289" i="12" s="1"/>
  <c r="E288" i="12" s="1"/>
  <c r="E287" i="12" s="1"/>
  <c r="E286" i="12" s="1"/>
  <c r="E285" i="12" s="1"/>
  <c r="E436" i="12"/>
  <c r="E435" i="12" s="1"/>
  <c r="E434" i="12" s="1"/>
  <c r="E433" i="12" s="1"/>
  <c r="E432" i="12" s="1"/>
  <c r="E431" i="12" s="1"/>
  <c r="E437" i="12"/>
  <c r="E438" i="12"/>
  <c r="E441" i="12"/>
  <c r="G11" i="17"/>
  <c r="H11" i="17"/>
  <c r="F11" i="17"/>
  <c r="G9" i="17"/>
  <c r="F9" i="17"/>
  <c r="H9" i="17" s="1"/>
  <c r="G10" i="17"/>
  <c r="F10" i="17"/>
  <c r="H5" i="17"/>
  <c r="H7" i="17"/>
  <c r="H8" i="17"/>
  <c r="H6" i="17"/>
  <c r="D14" i="16"/>
  <c r="C17" i="16"/>
  <c r="C16" i="16"/>
  <c r="E22" i="5"/>
  <c r="E21" i="5"/>
  <c r="E20" i="5"/>
  <c r="E19" i="5"/>
  <c r="C436" i="16"/>
  <c r="B436" i="16"/>
  <c r="C435" i="16"/>
  <c r="B435" i="16"/>
  <c r="C434" i="16"/>
  <c r="B434" i="16"/>
  <c r="C433" i="16"/>
  <c r="B433" i="16"/>
  <c r="C432" i="16"/>
  <c r="B432" i="16"/>
  <c r="C431" i="16"/>
  <c r="B431" i="16"/>
  <c r="C430" i="16"/>
  <c r="B430" i="16"/>
  <c r="C429" i="16"/>
  <c r="B429" i="16"/>
  <c r="C428" i="16"/>
  <c r="B428" i="16"/>
  <c r="C427" i="16"/>
  <c r="B427" i="16"/>
  <c r="C426" i="16"/>
  <c r="B426" i="16"/>
  <c r="C425" i="16"/>
  <c r="B425" i="16"/>
  <c r="C424" i="16"/>
  <c r="B424" i="16"/>
  <c r="C423" i="16"/>
  <c r="B423" i="16"/>
  <c r="C422" i="16"/>
  <c r="B422" i="16"/>
  <c r="C421" i="16"/>
  <c r="B421" i="16"/>
  <c r="C420" i="16"/>
  <c r="B420" i="16"/>
  <c r="C419" i="16"/>
  <c r="B419" i="16"/>
  <c r="C418" i="16"/>
  <c r="B418" i="16"/>
  <c r="C417" i="16"/>
  <c r="B417" i="16"/>
  <c r="C416" i="16"/>
  <c r="B416" i="16"/>
  <c r="C415" i="16"/>
  <c r="B415" i="16"/>
  <c r="C414" i="16"/>
  <c r="B414" i="16"/>
  <c r="C413" i="16"/>
  <c r="B413" i="16"/>
  <c r="C412" i="16"/>
  <c r="B412" i="16"/>
  <c r="C411" i="16"/>
  <c r="B411" i="16"/>
  <c r="C410" i="16"/>
  <c r="B410" i="16"/>
  <c r="C409" i="16"/>
  <c r="B409" i="16"/>
  <c r="C408" i="16"/>
  <c r="B408" i="16"/>
  <c r="C407" i="16"/>
  <c r="B407" i="16"/>
  <c r="C406" i="16"/>
  <c r="B406" i="16"/>
  <c r="C405" i="16"/>
  <c r="B405" i="16"/>
  <c r="C404" i="16"/>
  <c r="B404" i="16"/>
  <c r="C403" i="16"/>
  <c r="B403" i="16"/>
  <c r="C402" i="16"/>
  <c r="B402" i="16"/>
  <c r="C401" i="16"/>
  <c r="B401" i="16"/>
  <c r="C400" i="16"/>
  <c r="B400" i="16"/>
  <c r="C399" i="16"/>
  <c r="B399" i="16"/>
  <c r="C398" i="16"/>
  <c r="B398" i="16"/>
  <c r="C397" i="16"/>
  <c r="B397" i="16"/>
  <c r="C396" i="16"/>
  <c r="B396" i="16"/>
  <c r="C395" i="16"/>
  <c r="B395" i="16"/>
  <c r="C394" i="16"/>
  <c r="B394" i="16"/>
  <c r="C393" i="16"/>
  <c r="B393" i="16"/>
  <c r="C392" i="16"/>
  <c r="B392" i="16"/>
  <c r="C391" i="16"/>
  <c r="B391" i="16"/>
  <c r="C390" i="16"/>
  <c r="B390" i="16"/>
  <c r="C389" i="16"/>
  <c r="B389" i="16"/>
  <c r="C388" i="16"/>
  <c r="B388" i="16"/>
  <c r="C387" i="16"/>
  <c r="B387" i="16"/>
  <c r="C386" i="16"/>
  <c r="B386" i="16"/>
  <c r="C385" i="16"/>
  <c r="B385" i="16"/>
  <c r="C384" i="16"/>
  <c r="B384" i="16"/>
  <c r="C383" i="16"/>
  <c r="B383" i="16"/>
  <c r="C382" i="16"/>
  <c r="B382" i="16"/>
  <c r="C381" i="16"/>
  <c r="B381" i="16"/>
  <c r="C380" i="16"/>
  <c r="B380" i="16"/>
  <c r="C379" i="16"/>
  <c r="B379" i="16"/>
  <c r="C378" i="16"/>
  <c r="B378" i="16"/>
  <c r="C377" i="16"/>
  <c r="B377" i="16"/>
  <c r="C376" i="16"/>
  <c r="B376" i="16"/>
  <c r="C375" i="16"/>
  <c r="B375" i="16"/>
  <c r="C374" i="16"/>
  <c r="B374" i="16"/>
  <c r="C373" i="16"/>
  <c r="B373" i="16"/>
  <c r="C372" i="16"/>
  <c r="B372" i="16"/>
  <c r="C371" i="16"/>
  <c r="B371" i="16"/>
  <c r="C370" i="16"/>
  <c r="B370" i="16"/>
  <c r="C369" i="16"/>
  <c r="B369" i="16"/>
  <c r="C368" i="16"/>
  <c r="B368" i="16"/>
  <c r="C367" i="16"/>
  <c r="B367" i="16"/>
  <c r="C366" i="16"/>
  <c r="B366" i="16"/>
  <c r="C365" i="16"/>
  <c r="B365" i="16"/>
  <c r="C364" i="16"/>
  <c r="B364" i="16"/>
  <c r="C363" i="16"/>
  <c r="B363" i="16"/>
  <c r="C362" i="16"/>
  <c r="B362" i="16"/>
  <c r="C361" i="16"/>
  <c r="B361" i="16"/>
  <c r="C360" i="16"/>
  <c r="B360" i="16"/>
  <c r="C359" i="16"/>
  <c r="B359" i="16"/>
  <c r="C358" i="16"/>
  <c r="B358" i="16"/>
  <c r="C357" i="16"/>
  <c r="B357" i="16"/>
  <c r="C356" i="16"/>
  <c r="B356" i="16"/>
  <c r="C355" i="16"/>
  <c r="B355" i="16"/>
  <c r="C354" i="16"/>
  <c r="B354" i="16"/>
  <c r="C353" i="16"/>
  <c r="B353" i="16"/>
  <c r="C352" i="16"/>
  <c r="B352" i="16"/>
  <c r="C351" i="16"/>
  <c r="B351" i="16"/>
  <c r="C350" i="16"/>
  <c r="B350" i="16"/>
  <c r="C349" i="16"/>
  <c r="B349" i="16"/>
  <c r="C348" i="16"/>
  <c r="B348" i="16"/>
  <c r="C347" i="16"/>
  <c r="B347" i="16"/>
  <c r="C346" i="16"/>
  <c r="B346" i="16"/>
  <c r="C345" i="16"/>
  <c r="B345" i="16"/>
  <c r="C344" i="16"/>
  <c r="B344" i="16"/>
  <c r="C343" i="16"/>
  <c r="B343" i="16"/>
  <c r="C342" i="16"/>
  <c r="B342" i="16"/>
  <c r="C341" i="16"/>
  <c r="B341" i="16"/>
  <c r="C340" i="16"/>
  <c r="B340" i="16"/>
  <c r="C339" i="16"/>
  <c r="B339" i="16"/>
  <c r="C338" i="16"/>
  <c r="B338" i="16"/>
  <c r="C337" i="16"/>
  <c r="B337" i="16"/>
  <c r="C336" i="16"/>
  <c r="B336" i="16"/>
  <c r="C335" i="16"/>
  <c r="B335" i="16"/>
  <c r="C334" i="16"/>
  <c r="B334" i="16"/>
  <c r="C333" i="16"/>
  <c r="B333" i="16"/>
  <c r="C332" i="16"/>
  <c r="B332" i="16"/>
  <c r="C331" i="16"/>
  <c r="B331" i="16"/>
  <c r="C330" i="16"/>
  <c r="B330" i="16"/>
  <c r="C329" i="16"/>
  <c r="B329" i="16"/>
  <c r="C328" i="16"/>
  <c r="B328" i="16"/>
  <c r="C327" i="16"/>
  <c r="B327" i="16"/>
  <c r="C326" i="16"/>
  <c r="B326" i="16"/>
  <c r="C325" i="16"/>
  <c r="B325" i="16"/>
  <c r="C324" i="16"/>
  <c r="B324" i="16"/>
  <c r="C323" i="16"/>
  <c r="B323" i="16"/>
  <c r="C322" i="16"/>
  <c r="B322" i="16"/>
  <c r="C321" i="16"/>
  <c r="B321" i="16"/>
  <c r="C320" i="16"/>
  <c r="B320" i="16"/>
  <c r="C319" i="16"/>
  <c r="B319" i="16"/>
  <c r="C318" i="16"/>
  <c r="B318" i="16"/>
  <c r="C317" i="16"/>
  <c r="B317" i="16"/>
  <c r="C316" i="16"/>
  <c r="B316" i="16"/>
  <c r="C315" i="16"/>
  <c r="B315" i="16"/>
  <c r="C314" i="16"/>
  <c r="B314" i="16"/>
  <c r="C313" i="16"/>
  <c r="B313" i="16"/>
  <c r="C312" i="16"/>
  <c r="B312" i="16"/>
  <c r="C311" i="16"/>
  <c r="B311" i="16"/>
  <c r="C310" i="16"/>
  <c r="B310" i="16"/>
  <c r="C309" i="16"/>
  <c r="B309" i="16"/>
  <c r="C308" i="16"/>
  <c r="B308" i="16"/>
  <c r="C307" i="16"/>
  <c r="B307" i="16"/>
  <c r="C306" i="16"/>
  <c r="B306" i="16"/>
  <c r="C305" i="16"/>
  <c r="B305" i="16"/>
  <c r="C304" i="16"/>
  <c r="B304" i="16"/>
  <c r="C303" i="16"/>
  <c r="B303" i="16"/>
  <c r="C302" i="16"/>
  <c r="B302" i="16"/>
  <c r="C301" i="16"/>
  <c r="B301" i="16"/>
  <c r="C300" i="16"/>
  <c r="B300" i="16"/>
  <c r="C299" i="16"/>
  <c r="B299" i="16"/>
  <c r="C298" i="16"/>
  <c r="B298" i="16"/>
  <c r="C297" i="16"/>
  <c r="B297" i="16"/>
  <c r="C296" i="16"/>
  <c r="B296" i="16"/>
  <c r="C295" i="16"/>
  <c r="B295" i="16"/>
  <c r="C294" i="16"/>
  <c r="B294" i="16"/>
  <c r="C293" i="16"/>
  <c r="B293" i="16"/>
  <c r="C292" i="16"/>
  <c r="B292" i="16"/>
  <c r="C291" i="16"/>
  <c r="B291" i="16"/>
  <c r="C290" i="16"/>
  <c r="B290" i="16"/>
  <c r="C289" i="16"/>
  <c r="B289" i="16"/>
  <c r="C288" i="16"/>
  <c r="B288" i="16"/>
  <c r="C287" i="16"/>
  <c r="B287" i="16"/>
  <c r="C286" i="16"/>
  <c r="B286" i="16"/>
  <c r="C285" i="16"/>
  <c r="B285" i="16"/>
  <c r="C284" i="16"/>
  <c r="B284" i="16"/>
  <c r="C283" i="16"/>
  <c r="B283" i="16"/>
  <c r="C282" i="16"/>
  <c r="B282" i="16"/>
  <c r="C281" i="16"/>
  <c r="B281" i="16"/>
  <c r="C280" i="16"/>
  <c r="B280" i="16"/>
  <c r="C279" i="16"/>
  <c r="B279" i="16"/>
  <c r="C278" i="16"/>
  <c r="B278" i="16"/>
  <c r="C277" i="16"/>
  <c r="B277" i="16"/>
  <c r="C276" i="16"/>
  <c r="B276" i="16"/>
  <c r="C275" i="16"/>
  <c r="B275" i="16"/>
  <c r="C274" i="16"/>
  <c r="B274" i="16"/>
  <c r="C273" i="16"/>
  <c r="B273" i="16"/>
  <c r="C272" i="16"/>
  <c r="B272" i="16"/>
  <c r="C271" i="16"/>
  <c r="B271" i="16"/>
  <c r="C270" i="16"/>
  <c r="B270" i="16"/>
  <c r="C269" i="16"/>
  <c r="B269" i="16"/>
  <c r="C268" i="16"/>
  <c r="B268" i="16"/>
  <c r="C267" i="16"/>
  <c r="B267" i="16"/>
  <c r="C266" i="16"/>
  <c r="B266" i="16"/>
  <c r="C265" i="16"/>
  <c r="B265" i="16"/>
  <c r="C264" i="16"/>
  <c r="B264" i="16"/>
  <c r="C263" i="16"/>
  <c r="B263" i="16"/>
  <c r="C262" i="16"/>
  <c r="B262" i="16"/>
  <c r="C261" i="16"/>
  <c r="B261" i="16"/>
  <c r="C260" i="16"/>
  <c r="B260" i="16"/>
  <c r="C259" i="16"/>
  <c r="B259" i="16"/>
  <c r="C258" i="16"/>
  <c r="B258" i="16"/>
  <c r="C257" i="16"/>
  <c r="B257" i="16"/>
  <c r="C256" i="16"/>
  <c r="B256" i="16"/>
  <c r="C255" i="16"/>
  <c r="B255" i="16"/>
  <c r="C254" i="16"/>
  <c r="B254" i="16"/>
  <c r="C253" i="16"/>
  <c r="B253" i="16"/>
  <c r="C252" i="16"/>
  <c r="B252" i="16"/>
  <c r="C251" i="16"/>
  <c r="B251" i="16"/>
  <c r="C250" i="16"/>
  <c r="B250" i="16"/>
  <c r="C249" i="16"/>
  <c r="B249" i="16"/>
  <c r="C248" i="16"/>
  <c r="B248" i="16"/>
  <c r="C247" i="16"/>
  <c r="B247" i="16"/>
  <c r="C246" i="16"/>
  <c r="B246" i="16"/>
  <c r="C245" i="16"/>
  <c r="B245" i="16"/>
  <c r="C244" i="16"/>
  <c r="B244" i="16"/>
  <c r="C243" i="16"/>
  <c r="B243" i="16"/>
  <c r="C242" i="16"/>
  <c r="B242" i="16"/>
  <c r="C241" i="16"/>
  <c r="B241" i="16"/>
  <c r="C240" i="16"/>
  <c r="B240" i="16"/>
  <c r="C239" i="16"/>
  <c r="B239" i="16"/>
  <c r="C238" i="16"/>
  <c r="B238" i="16"/>
  <c r="C237" i="16"/>
  <c r="B237" i="16"/>
  <c r="C236" i="16"/>
  <c r="B236" i="16"/>
  <c r="C235" i="16"/>
  <c r="B235" i="16"/>
  <c r="C234" i="16"/>
  <c r="B234" i="16"/>
  <c r="C233" i="16"/>
  <c r="B233" i="16"/>
  <c r="C232" i="16"/>
  <c r="B232" i="16"/>
  <c r="C231" i="16"/>
  <c r="B231" i="16"/>
  <c r="C230" i="16"/>
  <c r="B230" i="16"/>
  <c r="C229" i="16"/>
  <c r="B229" i="16"/>
  <c r="C228" i="16"/>
  <c r="B228" i="16"/>
  <c r="C227" i="16"/>
  <c r="B227" i="16"/>
  <c r="C226" i="16"/>
  <c r="B226" i="16"/>
  <c r="C225" i="16"/>
  <c r="B225" i="16"/>
  <c r="C224" i="16"/>
  <c r="B224" i="16"/>
  <c r="C223" i="16"/>
  <c r="B223" i="16"/>
  <c r="C222" i="16"/>
  <c r="B222" i="16"/>
  <c r="C221" i="16"/>
  <c r="B221" i="16"/>
  <c r="C220" i="16"/>
  <c r="B220" i="16"/>
  <c r="C219" i="16"/>
  <c r="B219" i="16"/>
  <c r="C218" i="16"/>
  <c r="B218" i="16"/>
  <c r="C217" i="16"/>
  <c r="B217" i="16"/>
  <c r="C216" i="16"/>
  <c r="B216" i="16"/>
  <c r="C215" i="16"/>
  <c r="B215" i="16"/>
  <c r="C214" i="16"/>
  <c r="B214" i="16"/>
  <c r="C213" i="16"/>
  <c r="B213" i="16"/>
  <c r="C212" i="16"/>
  <c r="B212" i="16"/>
  <c r="C211" i="16"/>
  <c r="B211" i="16"/>
  <c r="C210" i="16"/>
  <c r="B210" i="16"/>
  <c r="C209" i="16"/>
  <c r="B209" i="16"/>
  <c r="C208" i="16"/>
  <c r="B208" i="16"/>
  <c r="C207" i="16"/>
  <c r="B207" i="16"/>
  <c r="C206" i="16"/>
  <c r="B206" i="16"/>
  <c r="C205" i="16"/>
  <c r="B205" i="16"/>
  <c r="C204" i="16"/>
  <c r="B204" i="16"/>
  <c r="C203" i="16"/>
  <c r="B203" i="16"/>
  <c r="C202" i="16"/>
  <c r="B202" i="16"/>
  <c r="C201" i="16"/>
  <c r="B201" i="16"/>
  <c r="C200" i="16"/>
  <c r="B200" i="16"/>
  <c r="C199" i="16"/>
  <c r="B199" i="16"/>
  <c r="C198" i="16"/>
  <c r="B198" i="16"/>
  <c r="C197" i="16"/>
  <c r="B197" i="16"/>
  <c r="C196" i="16"/>
  <c r="B196" i="16"/>
  <c r="C195" i="16"/>
  <c r="B195" i="16"/>
  <c r="C194" i="16"/>
  <c r="B194" i="16"/>
  <c r="C193" i="16"/>
  <c r="B193" i="16"/>
  <c r="C192" i="16"/>
  <c r="B192" i="16"/>
  <c r="C191" i="16"/>
  <c r="B191" i="16"/>
  <c r="C190" i="16"/>
  <c r="B190" i="16"/>
  <c r="C189" i="16"/>
  <c r="B189" i="16"/>
  <c r="C188" i="16"/>
  <c r="B188" i="16"/>
  <c r="C187" i="16"/>
  <c r="B187" i="16"/>
  <c r="C186" i="16"/>
  <c r="B186" i="16"/>
  <c r="C185" i="16"/>
  <c r="B185" i="16"/>
  <c r="C184" i="16"/>
  <c r="B184" i="16"/>
  <c r="C183" i="16"/>
  <c r="B183" i="16"/>
  <c r="C182" i="16"/>
  <c r="B182" i="16"/>
  <c r="C181" i="16"/>
  <c r="B181" i="16"/>
  <c r="C180" i="16"/>
  <c r="B180" i="16"/>
  <c r="C179" i="16"/>
  <c r="B179" i="16"/>
  <c r="C178" i="16"/>
  <c r="B178" i="16"/>
  <c r="C177" i="16"/>
  <c r="B177" i="16"/>
  <c r="C176" i="16"/>
  <c r="B176" i="16"/>
  <c r="C175" i="16"/>
  <c r="B175" i="16"/>
  <c r="C174" i="16"/>
  <c r="B174" i="16"/>
  <c r="C173" i="16"/>
  <c r="B173" i="16"/>
  <c r="C172" i="16"/>
  <c r="B172" i="16"/>
  <c r="C171" i="16"/>
  <c r="B171" i="16"/>
  <c r="C170" i="16"/>
  <c r="B170" i="16"/>
  <c r="C169" i="16"/>
  <c r="B169" i="16"/>
  <c r="C168" i="16"/>
  <c r="B168" i="16"/>
  <c r="C167" i="16"/>
  <c r="B167" i="16"/>
  <c r="C166" i="16"/>
  <c r="B166" i="16"/>
  <c r="C165" i="16"/>
  <c r="B165" i="16"/>
  <c r="C164" i="16"/>
  <c r="B164" i="16"/>
  <c r="C163" i="16"/>
  <c r="B163" i="16"/>
  <c r="C162" i="16"/>
  <c r="B162" i="16"/>
  <c r="C161" i="16"/>
  <c r="B161" i="16"/>
  <c r="C160" i="16"/>
  <c r="B160" i="16"/>
  <c r="C159" i="16"/>
  <c r="B159" i="16"/>
  <c r="C158" i="16"/>
  <c r="B158" i="16"/>
  <c r="C157" i="16"/>
  <c r="B157" i="16"/>
  <c r="C156" i="16"/>
  <c r="B156" i="16"/>
  <c r="C155" i="16"/>
  <c r="B155" i="16"/>
  <c r="C154" i="16"/>
  <c r="B154" i="16"/>
  <c r="C153" i="16"/>
  <c r="B153" i="16"/>
  <c r="C152" i="16"/>
  <c r="B152" i="16"/>
  <c r="C151" i="16"/>
  <c r="B151" i="16"/>
  <c r="C150" i="16"/>
  <c r="B150" i="16"/>
  <c r="C149" i="16"/>
  <c r="B149" i="16"/>
  <c r="C148" i="16"/>
  <c r="B148" i="16"/>
  <c r="C147" i="16"/>
  <c r="B147" i="16"/>
  <c r="C146" i="16"/>
  <c r="B146" i="16"/>
  <c r="C145" i="16"/>
  <c r="B145" i="16"/>
  <c r="C144" i="16"/>
  <c r="B144" i="16"/>
  <c r="C143" i="16"/>
  <c r="B143" i="16"/>
  <c r="E136" i="16"/>
  <c r="C136" i="16"/>
  <c r="B136" i="16"/>
  <c r="E135" i="16"/>
  <c r="C135" i="16"/>
  <c r="B135" i="16"/>
  <c r="E134" i="16"/>
  <c r="C134" i="16"/>
  <c r="B134" i="16"/>
  <c r="E133" i="16"/>
  <c r="C133" i="16"/>
  <c r="B133" i="16"/>
  <c r="E132" i="16"/>
  <c r="C132" i="16"/>
  <c r="B132" i="16"/>
  <c r="E125" i="16"/>
  <c r="C125" i="16"/>
  <c r="B125" i="16"/>
  <c r="E124" i="16"/>
  <c r="C124" i="16"/>
  <c r="B124" i="16"/>
  <c r="E123" i="16"/>
  <c r="C123" i="16"/>
  <c r="B123" i="16"/>
  <c r="E122" i="16"/>
  <c r="C122" i="16"/>
  <c r="B122" i="16"/>
  <c r="E121" i="16"/>
  <c r="C121" i="16"/>
  <c r="B121" i="16"/>
  <c r="E120" i="16"/>
  <c r="C120" i="16"/>
  <c r="B120" i="16"/>
  <c r="E119" i="16"/>
  <c r="C119" i="16"/>
  <c r="B119" i="16"/>
  <c r="E118" i="16"/>
  <c r="C118" i="16"/>
  <c r="B118" i="16"/>
  <c r="E117" i="16"/>
  <c r="C117" i="16"/>
  <c r="B117" i="16"/>
  <c r="E116" i="16"/>
  <c r="C116" i="16"/>
  <c r="B116" i="16"/>
  <c r="E115" i="16"/>
  <c r="C115" i="16"/>
  <c r="B115" i="16"/>
  <c r="E114" i="16"/>
  <c r="C114" i="16"/>
  <c r="B114" i="16"/>
  <c r="E113" i="16"/>
  <c r="C113" i="16"/>
  <c r="B113" i="16"/>
  <c r="E112" i="16"/>
  <c r="C112" i="16"/>
  <c r="B112" i="16"/>
  <c r="E111" i="16"/>
  <c r="C111" i="16"/>
  <c r="B111" i="16"/>
  <c r="E110" i="16"/>
  <c r="C110" i="16"/>
  <c r="B110" i="16"/>
  <c r="E109" i="16"/>
  <c r="C109" i="16"/>
  <c r="B109" i="16"/>
  <c r="E108" i="16"/>
  <c r="C108" i="16"/>
  <c r="B108" i="16"/>
  <c r="E107" i="16"/>
  <c r="C107" i="16"/>
  <c r="B107" i="16"/>
  <c r="E106" i="16"/>
  <c r="C106" i="16"/>
  <c r="B106" i="16"/>
  <c r="E105" i="16"/>
  <c r="C105" i="16"/>
  <c r="B105" i="16"/>
  <c r="E104" i="16"/>
  <c r="C104" i="16"/>
  <c r="B104" i="16"/>
  <c r="E103" i="16"/>
  <c r="C103" i="16"/>
  <c r="B103" i="16"/>
  <c r="E102" i="16"/>
  <c r="C102" i="16"/>
  <c r="B102" i="16"/>
  <c r="E101" i="16"/>
  <c r="C101" i="16"/>
  <c r="B101" i="16"/>
  <c r="E100" i="16"/>
  <c r="C100" i="16"/>
  <c r="B100" i="16"/>
  <c r="E99" i="16"/>
  <c r="C99" i="16"/>
  <c r="B99" i="16"/>
  <c r="E98" i="16"/>
  <c r="C98" i="16"/>
  <c r="B98" i="16"/>
  <c r="E97" i="16"/>
  <c r="C97" i="16"/>
  <c r="B97" i="16"/>
  <c r="E96" i="16"/>
  <c r="C96" i="16"/>
  <c r="B96" i="16"/>
  <c r="E95" i="16"/>
  <c r="C95" i="16"/>
  <c r="B95" i="16"/>
  <c r="E94" i="16"/>
  <c r="C94" i="16"/>
  <c r="B94" i="16"/>
  <c r="E93" i="16"/>
  <c r="C93" i="16"/>
  <c r="B93" i="16"/>
  <c r="E92" i="16"/>
  <c r="C92" i="16"/>
  <c r="B92" i="16"/>
  <c r="E91" i="16"/>
  <c r="C91" i="16"/>
  <c r="B91" i="16"/>
  <c r="E90" i="16"/>
  <c r="C90" i="16"/>
  <c r="B90" i="16"/>
  <c r="E89" i="16"/>
  <c r="C89" i="16"/>
  <c r="B89" i="16"/>
  <c r="E88" i="16"/>
  <c r="C88" i="16"/>
  <c r="B88" i="16"/>
  <c r="E87" i="16"/>
  <c r="C87" i="16"/>
  <c r="B87" i="16"/>
  <c r="E86" i="16"/>
  <c r="C86" i="16"/>
  <c r="B86" i="16"/>
  <c r="E85" i="16"/>
  <c r="C85" i="16"/>
  <c r="B85" i="16"/>
  <c r="E84" i="16"/>
  <c r="C84" i="16"/>
  <c r="B84" i="16"/>
  <c r="E83" i="16"/>
  <c r="C83" i="16"/>
  <c r="B83" i="16"/>
  <c r="E82" i="16"/>
  <c r="C82" i="16"/>
  <c r="B82" i="16"/>
  <c r="E81" i="16"/>
  <c r="C81" i="16"/>
  <c r="B81" i="16"/>
  <c r="E80" i="16"/>
  <c r="C80" i="16"/>
  <c r="B80" i="16"/>
  <c r="E79" i="16"/>
  <c r="C79" i="16"/>
  <c r="B79" i="16"/>
  <c r="E78" i="16"/>
  <c r="C78" i="16"/>
  <c r="B78" i="16"/>
  <c r="E77" i="16"/>
  <c r="C77" i="16"/>
  <c r="B77" i="16"/>
  <c r="E76" i="16"/>
  <c r="C76" i="16"/>
  <c r="B76" i="16"/>
  <c r="E75" i="16"/>
  <c r="C75" i="16"/>
  <c r="B75" i="16"/>
  <c r="E74" i="16"/>
  <c r="C74" i="16"/>
  <c r="B74" i="16"/>
  <c r="E73" i="16"/>
  <c r="C73" i="16"/>
  <c r="B73" i="16"/>
  <c r="E72" i="16"/>
  <c r="C72" i="16"/>
  <c r="B72" i="16"/>
  <c r="E71" i="16"/>
  <c r="C71" i="16"/>
  <c r="B71" i="16"/>
  <c r="E70" i="16"/>
  <c r="C70" i="16"/>
  <c r="B70" i="16"/>
  <c r="E69" i="16"/>
  <c r="C69" i="16"/>
  <c r="B69" i="16"/>
  <c r="E68" i="16"/>
  <c r="C68" i="16"/>
  <c r="B68" i="16"/>
  <c r="E67" i="16"/>
  <c r="C67" i="16"/>
  <c r="B67" i="16"/>
  <c r="E66" i="16"/>
  <c r="C66" i="16"/>
  <c r="B66" i="16"/>
  <c r="E65" i="16"/>
  <c r="C65" i="16"/>
  <c r="B65" i="16"/>
  <c r="E64" i="16"/>
  <c r="C64" i="16"/>
  <c r="B64" i="16"/>
  <c r="E63" i="16"/>
  <c r="C63" i="16"/>
  <c r="B63" i="16"/>
  <c r="E62" i="16"/>
  <c r="C62" i="16"/>
  <c r="B62" i="16"/>
  <c r="E61" i="16"/>
  <c r="C61" i="16"/>
  <c r="B61" i="16"/>
  <c r="E60" i="16"/>
  <c r="C60" i="16"/>
  <c r="B60" i="16"/>
  <c r="E59" i="16"/>
  <c r="C59" i="16"/>
  <c r="B59" i="16"/>
  <c r="E58" i="16"/>
  <c r="C58" i="16"/>
  <c r="B58" i="16"/>
  <c r="E57" i="16"/>
  <c r="C57" i="16"/>
  <c r="B57" i="16"/>
  <c r="E56" i="16"/>
  <c r="C56" i="16"/>
  <c r="B56" i="16"/>
  <c r="E55" i="16"/>
  <c r="C55" i="16"/>
  <c r="B55" i="16"/>
  <c r="E54" i="16"/>
  <c r="C54" i="16"/>
  <c r="B54" i="16"/>
  <c r="E53" i="16"/>
  <c r="C53" i="16"/>
  <c r="B53" i="16"/>
  <c r="E52" i="16"/>
  <c r="C52" i="16"/>
  <c r="B52" i="16"/>
  <c r="E51" i="16"/>
  <c r="C51" i="16"/>
  <c r="B51" i="16"/>
  <c r="E50" i="16"/>
  <c r="C50" i="16"/>
  <c r="B50" i="16"/>
  <c r="E49" i="16"/>
  <c r="C49" i="16"/>
  <c r="B49" i="16"/>
  <c r="E48" i="16"/>
  <c r="C48" i="16"/>
  <c r="B48" i="16"/>
  <c r="E47" i="16"/>
  <c r="C47" i="16"/>
  <c r="B47" i="16"/>
  <c r="E46" i="16"/>
  <c r="C46" i="16"/>
  <c r="B46" i="16"/>
  <c r="E45" i="16"/>
  <c r="C45" i="16"/>
  <c r="B45" i="16"/>
  <c r="E44" i="16"/>
  <c r="C44" i="16"/>
  <c r="B44" i="16"/>
  <c r="E43" i="16"/>
  <c r="C43" i="16"/>
  <c r="B43" i="16"/>
  <c r="E42" i="16"/>
  <c r="C42" i="16"/>
  <c r="B42" i="16"/>
  <c r="E41" i="16"/>
  <c r="C41" i="16"/>
  <c r="B41" i="16"/>
  <c r="E40" i="16"/>
  <c r="C40" i="16"/>
  <c r="B40" i="16"/>
  <c r="E39" i="16"/>
  <c r="C39" i="16"/>
  <c r="B39" i="16"/>
  <c r="E38" i="16"/>
  <c r="C38" i="16"/>
  <c r="B38" i="16"/>
  <c r="E37" i="16"/>
  <c r="C37" i="16"/>
  <c r="B37" i="16"/>
  <c r="E36" i="16"/>
  <c r="C36" i="16"/>
  <c r="B36" i="16"/>
  <c r="E35" i="16"/>
  <c r="C35" i="16"/>
  <c r="B35" i="16"/>
  <c r="E34" i="16"/>
  <c r="C34" i="16"/>
  <c r="B34" i="16"/>
  <c r="E33" i="16"/>
  <c r="C33" i="16"/>
  <c r="B33" i="16"/>
  <c r="E32" i="16"/>
  <c r="C32" i="16"/>
  <c r="B32" i="16"/>
  <c r="E31" i="16"/>
  <c r="C31" i="16"/>
  <c r="B31" i="16"/>
  <c r="E30" i="16"/>
  <c r="C30" i="16"/>
  <c r="B30" i="16"/>
  <c r="E29" i="16"/>
  <c r="C29" i="16"/>
  <c r="B29" i="16"/>
  <c r="E28" i="16"/>
  <c r="C28" i="16"/>
  <c r="B28" i="16"/>
  <c r="E27" i="16"/>
  <c r="C27" i="16"/>
  <c r="B27" i="16"/>
  <c r="E26" i="16"/>
  <c r="C26" i="16"/>
  <c r="B26" i="16"/>
  <c r="E25" i="16"/>
  <c r="C25" i="16"/>
  <c r="B25" i="16"/>
  <c r="E24" i="16"/>
  <c r="C24" i="16"/>
  <c r="B24" i="16"/>
  <c r="E23" i="16"/>
  <c r="C23" i="16"/>
  <c r="B23" i="16"/>
  <c r="E22" i="16"/>
  <c r="C22" i="16"/>
  <c r="B22" i="16"/>
  <c r="E21" i="16"/>
  <c r="C21" i="16"/>
  <c r="B21" i="16"/>
  <c r="E20" i="16"/>
  <c r="C20" i="16"/>
  <c r="B20" i="16"/>
  <c r="E19" i="16"/>
  <c r="C19" i="16"/>
  <c r="B19" i="16"/>
  <c r="E18" i="16"/>
  <c r="C18" i="16"/>
  <c r="B18" i="16"/>
  <c r="E17" i="16"/>
  <c r="B17" i="16"/>
  <c r="E15" i="16"/>
  <c r="C15" i="16"/>
  <c r="B15" i="16"/>
  <c r="E14" i="16"/>
  <c r="C14" i="16"/>
  <c r="B14" i="16"/>
  <c r="E8" i="16"/>
  <c r="C8" i="16"/>
  <c r="B8" i="16"/>
  <c r="E7" i="16"/>
  <c r="C7" i="16"/>
  <c r="B7" i="16"/>
  <c r="E6" i="16"/>
  <c r="C6" i="16"/>
  <c r="B6" i="16"/>
  <c r="E5" i="16"/>
  <c r="C5" i="16"/>
  <c r="B5" i="16"/>
  <c r="E4" i="16"/>
  <c r="C4" i="16"/>
  <c r="B4" i="16"/>
  <c r="B19" i="5"/>
  <c r="C22" i="5"/>
  <c r="B22" i="5"/>
  <c r="C21" i="5"/>
  <c r="B21" i="5"/>
  <c r="C20" i="5"/>
  <c r="B20" i="5"/>
  <c r="B435" i="15"/>
  <c r="C435" i="15"/>
  <c r="B401" i="15"/>
  <c r="C401" i="15"/>
  <c r="B402" i="15"/>
  <c r="C402" i="15"/>
  <c r="B403" i="15"/>
  <c r="C403" i="15"/>
  <c r="B404" i="15"/>
  <c r="C404" i="15"/>
  <c r="B405" i="15"/>
  <c r="C405" i="15"/>
  <c r="B406" i="15"/>
  <c r="C406" i="15"/>
  <c r="B407" i="15"/>
  <c r="C407" i="15"/>
  <c r="B408" i="15"/>
  <c r="C408" i="15"/>
  <c r="B409" i="15"/>
  <c r="C409" i="15"/>
  <c r="B410" i="15"/>
  <c r="C410" i="15"/>
  <c r="B411" i="15"/>
  <c r="C411" i="15"/>
  <c r="B412" i="15"/>
  <c r="C412" i="15"/>
  <c r="B413" i="15"/>
  <c r="C413" i="15"/>
  <c r="B414" i="15"/>
  <c r="C414" i="15"/>
  <c r="B415" i="15"/>
  <c r="C415" i="15"/>
  <c r="B416" i="15"/>
  <c r="C416" i="15"/>
  <c r="B417" i="15"/>
  <c r="C417" i="15"/>
  <c r="B418" i="15"/>
  <c r="C418" i="15"/>
  <c r="B419" i="15"/>
  <c r="C419" i="15"/>
  <c r="B420" i="15"/>
  <c r="C420" i="15"/>
  <c r="B421" i="15"/>
  <c r="C421" i="15"/>
  <c r="B422" i="15"/>
  <c r="C422" i="15"/>
  <c r="B423" i="15"/>
  <c r="C423" i="15"/>
  <c r="B424" i="15"/>
  <c r="C424" i="15"/>
  <c r="B425" i="15"/>
  <c r="C425" i="15"/>
  <c r="B426" i="15"/>
  <c r="C426" i="15"/>
  <c r="B427" i="15"/>
  <c r="C427" i="15"/>
  <c r="B428" i="15"/>
  <c r="C428" i="15"/>
  <c r="B429" i="15"/>
  <c r="C429" i="15"/>
  <c r="B430" i="15"/>
  <c r="C430" i="15"/>
  <c r="B431" i="15"/>
  <c r="C431" i="15"/>
  <c r="B432" i="15"/>
  <c r="C432" i="15"/>
  <c r="B433" i="15"/>
  <c r="C433" i="15"/>
  <c r="B434" i="15"/>
  <c r="C434" i="15"/>
  <c r="B369" i="15"/>
  <c r="C369" i="15"/>
  <c r="B370" i="15"/>
  <c r="C370" i="15"/>
  <c r="B371" i="15"/>
  <c r="C371" i="15"/>
  <c r="B372" i="15"/>
  <c r="C372" i="15"/>
  <c r="B373" i="15"/>
  <c r="C373" i="15"/>
  <c r="B374" i="15"/>
  <c r="C374" i="15"/>
  <c r="B375" i="15"/>
  <c r="C375" i="15"/>
  <c r="B376" i="15"/>
  <c r="C376" i="15"/>
  <c r="B377" i="15"/>
  <c r="C377" i="15"/>
  <c r="B378" i="15"/>
  <c r="C378" i="15"/>
  <c r="B379" i="15"/>
  <c r="C379" i="15"/>
  <c r="B380" i="15"/>
  <c r="C380" i="15"/>
  <c r="B381" i="15"/>
  <c r="C381" i="15"/>
  <c r="B382" i="15"/>
  <c r="C382" i="15"/>
  <c r="B383" i="15"/>
  <c r="C383" i="15"/>
  <c r="B384" i="15"/>
  <c r="C384" i="15"/>
  <c r="B385" i="15"/>
  <c r="C385" i="15"/>
  <c r="B386" i="15"/>
  <c r="C386" i="15"/>
  <c r="B387" i="15"/>
  <c r="C387" i="15"/>
  <c r="B388" i="15"/>
  <c r="C388" i="15"/>
  <c r="B389" i="15"/>
  <c r="C389" i="15"/>
  <c r="B390" i="15"/>
  <c r="C390" i="15"/>
  <c r="B391" i="15"/>
  <c r="C391" i="15"/>
  <c r="B392" i="15"/>
  <c r="C392" i="15"/>
  <c r="B393" i="15"/>
  <c r="C393" i="15"/>
  <c r="B394" i="15"/>
  <c r="C394" i="15"/>
  <c r="B395" i="15"/>
  <c r="C395" i="15"/>
  <c r="B396" i="15"/>
  <c r="C396" i="15"/>
  <c r="B397" i="15"/>
  <c r="C397" i="15"/>
  <c r="B398" i="15"/>
  <c r="C398" i="15"/>
  <c r="B399" i="15"/>
  <c r="C399" i="15"/>
  <c r="B400" i="15"/>
  <c r="C400" i="15"/>
  <c r="B350" i="15"/>
  <c r="C350" i="15"/>
  <c r="B351" i="15"/>
  <c r="C351" i="15"/>
  <c r="B352" i="15"/>
  <c r="C352" i="15"/>
  <c r="B353" i="15"/>
  <c r="C353" i="15"/>
  <c r="B354" i="15"/>
  <c r="C354" i="15"/>
  <c r="B355" i="15"/>
  <c r="C355" i="15"/>
  <c r="B356" i="15"/>
  <c r="C356" i="15"/>
  <c r="B357" i="15"/>
  <c r="C357" i="15"/>
  <c r="B358" i="15"/>
  <c r="C358" i="15"/>
  <c r="B359" i="15"/>
  <c r="C359" i="15"/>
  <c r="B360" i="15"/>
  <c r="C360" i="15"/>
  <c r="B361" i="15"/>
  <c r="C361" i="15"/>
  <c r="B362" i="15"/>
  <c r="C362" i="15"/>
  <c r="B363" i="15"/>
  <c r="C363" i="15"/>
  <c r="B364" i="15"/>
  <c r="C364" i="15"/>
  <c r="B365" i="15"/>
  <c r="C365" i="15"/>
  <c r="B366" i="15"/>
  <c r="C366" i="15"/>
  <c r="B367" i="15"/>
  <c r="C367" i="15"/>
  <c r="B368" i="15"/>
  <c r="C368" i="15"/>
  <c r="B143" i="15"/>
  <c r="C143" i="15"/>
  <c r="B144" i="15"/>
  <c r="C144" i="15"/>
  <c r="B145" i="15"/>
  <c r="C145" i="15"/>
  <c r="B146" i="15"/>
  <c r="C146" i="15"/>
  <c r="B147" i="15"/>
  <c r="C147" i="15"/>
  <c r="B148" i="15"/>
  <c r="C148" i="15"/>
  <c r="B149" i="15"/>
  <c r="C149" i="15"/>
  <c r="B150" i="15"/>
  <c r="C150" i="15"/>
  <c r="B151" i="15"/>
  <c r="C151" i="15"/>
  <c r="B152" i="15"/>
  <c r="C152" i="15"/>
  <c r="B153" i="15"/>
  <c r="C153" i="15"/>
  <c r="B154" i="15"/>
  <c r="C154" i="15"/>
  <c r="B155" i="15"/>
  <c r="C155" i="15"/>
  <c r="B156" i="15"/>
  <c r="C156" i="15"/>
  <c r="B157" i="15"/>
  <c r="C157" i="15"/>
  <c r="B158" i="15"/>
  <c r="C158" i="15"/>
  <c r="B159" i="15"/>
  <c r="C159" i="15"/>
  <c r="B160" i="15"/>
  <c r="C160" i="15"/>
  <c r="B161" i="15"/>
  <c r="C161" i="15"/>
  <c r="B162" i="15"/>
  <c r="C162" i="15"/>
  <c r="B163" i="15"/>
  <c r="C163" i="15"/>
  <c r="B164" i="15"/>
  <c r="C164" i="15"/>
  <c r="B165" i="15"/>
  <c r="C165" i="15"/>
  <c r="B166" i="15"/>
  <c r="C166" i="15"/>
  <c r="B167" i="15"/>
  <c r="C167" i="15"/>
  <c r="B168" i="15"/>
  <c r="C168" i="15"/>
  <c r="B169" i="15"/>
  <c r="C169" i="15"/>
  <c r="B170" i="15"/>
  <c r="C170" i="15"/>
  <c r="B171" i="15"/>
  <c r="C171" i="15"/>
  <c r="B172" i="15"/>
  <c r="C172" i="15"/>
  <c r="B173" i="15"/>
  <c r="C173" i="15"/>
  <c r="B174" i="15"/>
  <c r="C174" i="15"/>
  <c r="B175" i="15"/>
  <c r="C175" i="15"/>
  <c r="B176" i="15"/>
  <c r="C176" i="15"/>
  <c r="B177" i="15"/>
  <c r="C177" i="15"/>
  <c r="B178" i="15"/>
  <c r="C178" i="15"/>
  <c r="B179" i="15"/>
  <c r="C179" i="15"/>
  <c r="B180" i="15"/>
  <c r="C180" i="15"/>
  <c r="B181" i="15"/>
  <c r="C181" i="15"/>
  <c r="B182" i="15"/>
  <c r="C182" i="15"/>
  <c r="B183" i="15"/>
  <c r="C183" i="15"/>
  <c r="B184" i="15"/>
  <c r="C184" i="15"/>
  <c r="B185" i="15"/>
  <c r="C185" i="15"/>
  <c r="B186" i="15"/>
  <c r="C186" i="15"/>
  <c r="B187" i="15"/>
  <c r="C187" i="15"/>
  <c r="B188" i="15"/>
  <c r="C188" i="15"/>
  <c r="B189" i="15"/>
  <c r="C189" i="15"/>
  <c r="B190" i="15"/>
  <c r="C190" i="15"/>
  <c r="B191" i="15"/>
  <c r="C191" i="15"/>
  <c r="B192" i="15"/>
  <c r="C192" i="15"/>
  <c r="B193" i="15"/>
  <c r="C193" i="15"/>
  <c r="B194" i="15"/>
  <c r="C194" i="15"/>
  <c r="B195" i="15"/>
  <c r="C195" i="15"/>
  <c r="B196" i="15"/>
  <c r="C196" i="15"/>
  <c r="B197" i="15"/>
  <c r="C197" i="15"/>
  <c r="B198" i="15"/>
  <c r="C198" i="15"/>
  <c r="B199" i="15"/>
  <c r="C199" i="15"/>
  <c r="B200" i="15"/>
  <c r="C200" i="15"/>
  <c r="B201" i="15"/>
  <c r="C201" i="15"/>
  <c r="B202" i="15"/>
  <c r="C202" i="15"/>
  <c r="B203" i="15"/>
  <c r="C203" i="15"/>
  <c r="B204" i="15"/>
  <c r="C204" i="15"/>
  <c r="B205" i="15"/>
  <c r="C205" i="15"/>
  <c r="B206" i="15"/>
  <c r="C206" i="15"/>
  <c r="B207" i="15"/>
  <c r="C207" i="15"/>
  <c r="B208" i="15"/>
  <c r="C208" i="15"/>
  <c r="B209" i="15"/>
  <c r="C209" i="15"/>
  <c r="B210" i="15"/>
  <c r="C210" i="15"/>
  <c r="B211" i="15"/>
  <c r="C211" i="15"/>
  <c r="B212" i="15"/>
  <c r="C212" i="15"/>
  <c r="B213" i="15"/>
  <c r="C213" i="15"/>
  <c r="B214" i="15"/>
  <c r="C214" i="15"/>
  <c r="B215" i="15"/>
  <c r="C215" i="15"/>
  <c r="B216" i="15"/>
  <c r="C216" i="15"/>
  <c r="B217" i="15"/>
  <c r="C217" i="15"/>
  <c r="B218" i="15"/>
  <c r="C218" i="15"/>
  <c r="B219" i="15"/>
  <c r="C219" i="15"/>
  <c r="B220" i="15"/>
  <c r="C220" i="15"/>
  <c r="B221" i="15"/>
  <c r="C221" i="15"/>
  <c r="B222" i="15"/>
  <c r="C222" i="15"/>
  <c r="B223" i="15"/>
  <c r="C223" i="15"/>
  <c r="B224" i="15"/>
  <c r="C224" i="15"/>
  <c r="B225" i="15"/>
  <c r="C225" i="15"/>
  <c r="B226" i="15"/>
  <c r="C226" i="15"/>
  <c r="B227" i="15"/>
  <c r="C227" i="15"/>
  <c r="B228" i="15"/>
  <c r="C228" i="15"/>
  <c r="B229" i="15"/>
  <c r="C229" i="15"/>
  <c r="B230" i="15"/>
  <c r="C230" i="15"/>
  <c r="B231" i="15"/>
  <c r="C231" i="15"/>
  <c r="B232" i="15"/>
  <c r="C232" i="15"/>
  <c r="B233" i="15"/>
  <c r="C233" i="15"/>
  <c r="B234" i="15"/>
  <c r="C234" i="15"/>
  <c r="B235" i="15"/>
  <c r="C235" i="15"/>
  <c r="B236" i="15"/>
  <c r="C236" i="15"/>
  <c r="B237" i="15"/>
  <c r="C237" i="15"/>
  <c r="B238" i="15"/>
  <c r="C238" i="15"/>
  <c r="B239" i="15"/>
  <c r="C239" i="15"/>
  <c r="B240" i="15"/>
  <c r="C240" i="15"/>
  <c r="B241" i="15"/>
  <c r="C241" i="15"/>
  <c r="B242" i="15"/>
  <c r="C242" i="15"/>
  <c r="B243" i="15"/>
  <c r="C243" i="15"/>
  <c r="B244" i="15"/>
  <c r="C244" i="15"/>
  <c r="B245" i="15"/>
  <c r="C245" i="15"/>
  <c r="B246" i="15"/>
  <c r="C246" i="15"/>
  <c r="B247" i="15"/>
  <c r="C247" i="15"/>
  <c r="B248" i="15"/>
  <c r="C248" i="15"/>
  <c r="B249" i="15"/>
  <c r="C249" i="15"/>
  <c r="B250" i="15"/>
  <c r="C250" i="15"/>
  <c r="B251" i="15"/>
  <c r="C251" i="15"/>
  <c r="B252" i="15"/>
  <c r="C252" i="15"/>
  <c r="B253" i="15"/>
  <c r="C253" i="15"/>
  <c r="B254" i="15"/>
  <c r="C254" i="15"/>
  <c r="B255" i="15"/>
  <c r="C255" i="15"/>
  <c r="B256" i="15"/>
  <c r="C256" i="15"/>
  <c r="B257" i="15"/>
  <c r="C257" i="15"/>
  <c r="B258" i="15"/>
  <c r="C258" i="15"/>
  <c r="B259" i="15"/>
  <c r="C259" i="15"/>
  <c r="B260" i="15"/>
  <c r="C260" i="15"/>
  <c r="B261" i="15"/>
  <c r="C261" i="15"/>
  <c r="B262" i="15"/>
  <c r="C262" i="15"/>
  <c r="B263" i="15"/>
  <c r="C263" i="15"/>
  <c r="B264" i="15"/>
  <c r="C264" i="15"/>
  <c r="B265" i="15"/>
  <c r="C265" i="15"/>
  <c r="B266" i="15"/>
  <c r="C266" i="15"/>
  <c r="B267" i="15"/>
  <c r="C267" i="15"/>
  <c r="B268" i="15"/>
  <c r="C268" i="15"/>
  <c r="B269" i="15"/>
  <c r="C269" i="15"/>
  <c r="B270" i="15"/>
  <c r="C270" i="15"/>
  <c r="B271" i="15"/>
  <c r="C271" i="15"/>
  <c r="B272" i="15"/>
  <c r="C272" i="15"/>
  <c r="B273" i="15"/>
  <c r="C273" i="15"/>
  <c r="B274" i="15"/>
  <c r="C274" i="15"/>
  <c r="B275" i="15"/>
  <c r="C275" i="15"/>
  <c r="B276" i="15"/>
  <c r="C276" i="15"/>
  <c r="B277" i="15"/>
  <c r="C277" i="15"/>
  <c r="B278" i="15"/>
  <c r="C278" i="15"/>
  <c r="B279" i="15"/>
  <c r="C279" i="15"/>
  <c r="B280" i="15"/>
  <c r="C280" i="15"/>
  <c r="B281" i="15"/>
  <c r="C281" i="15"/>
  <c r="B282" i="15"/>
  <c r="C282" i="15"/>
  <c r="B283" i="15"/>
  <c r="C283" i="15"/>
  <c r="B284" i="15"/>
  <c r="C284" i="15"/>
  <c r="B285" i="15"/>
  <c r="C285" i="15"/>
  <c r="B286" i="15"/>
  <c r="C286" i="15"/>
  <c r="B287" i="15"/>
  <c r="C287" i="15"/>
  <c r="B288" i="15"/>
  <c r="C288" i="15"/>
  <c r="B289" i="15"/>
  <c r="C289" i="15"/>
  <c r="B290" i="15"/>
  <c r="C290" i="15"/>
  <c r="B291" i="15"/>
  <c r="C291" i="15"/>
  <c r="B292" i="15"/>
  <c r="C292" i="15"/>
  <c r="B293" i="15"/>
  <c r="C293" i="15"/>
  <c r="B294" i="15"/>
  <c r="C294" i="15"/>
  <c r="B295" i="15"/>
  <c r="C295" i="15"/>
  <c r="B296" i="15"/>
  <c r="C296" i="15"/>
  <c r="B297" i="15"/>
  <c r="C297" i="15"/>
  <c r="B298" i="15"/>
  <c r="C298" i="15"/>
  <c r="B299" i="15"/>
  <c r="C299" i="15"/>
  <c r="B300" i="15"/>
  <c r="C300" i="15"/>
  <c r="B301" i="15"/>
  <c r="C301" i="15"/>
  <c r="B302" i="15"/>
  <c r="C302" i="15"/>
  <c r="B303" i="15"/>
  <c r="C303" i="15"/>
  <c r="B304" i="15"/>
  <c r="C304" i="15"/>
  <c r="B305" i="15"/>
  <c r="C305" i="15"/>
  <c r="B306" i="15"/>
  <c r="C306" i="15"/>
  <c r="B307" i="15"/>
  <c r="C307" i="15"/>
  <c r="B308" i="15"/>
  <c r="C308" i="15"/>
  <c r="B309" i="15"/>
  <c r="C309" i="15"/>
  <c r="B310" i="15"/>
  <c r="C310" i="15"/>
  <c r="B311" i="15"/>
  <c r="C311" i="15"/>
  <c r="B312" i="15"/>
  <c r="C312" i="15"/>
  <c r="B313" i="15"/>
  <c r="C313" i="15"/>
  <c r="B314" i="15"/>
  <c r="C314" i="15"/>
  <c r="B315" i="15"/>
  <c r="C315" i="15"/>
  <c r="B316" i="15"/>
  <c r="C316" i="15"/>
  <c r="B317" i="15"/>
  <c r="C317" i="15"/>
  <c r="B318" i="15"/>
  <c r="C318" i="15"/>
  <c r="B319" i="15"/>
  <c r="C319" i="15"/>
  <c r="B320" i="15"/>
  <c r="C320" i="15"/>
  <c r="B321" i="15"/>
  <c r="C321" i="15"/>
  <c r="B322" i="15"/>
  <c r="C322" i="15"/>
  <c r="B323" i="15"/>
  <c r="C323" i="15"/>
  <c r="B324" i="15"/>
  <c r="C324" i="15"/>
  <c r="B325" i="15"/>
  <c r="C325" i="15"/>
  <c r="B326" i="15"/>
  <c r="C326" i="15"/>
  <c r="B327" i="15"/>
  <c r="C327" i="15"/>
  <c r="B328" i="15"/>
  <c r="C328" i="15"/>
  <c r="B329" i="15"/>
  <c r="C329" i="15"/>
  <c r="B330" i="15"/>
  <c r="C330" i="15"/>
  <c r="B331" i="15"/>
  <c r="C331" i="15"/>
  <c r="B332" i="15"/>
  <c r="C332" i="15"/>
  <c r="B333" i="15"/>
  <c r="C333" i="15"/>
  <c r="B334" i="15"/>
  <c r="C334" i="15"/>
  <c r="B335" i="15"/>
  <c r="C335" i="15"/>
  <c r="B336" i="15"/>
  <c r="C336" i="15"/>
  <c r="B337" i="15"/>
  <c r="C337" i="15"/>
  <c r="B338" i="15"/>
  <c r="C338" i="15"/>
  <c r="B339" i="15"/>
  <c r="C339" i="15"/>
  <c r="B340" i="15"/>
  <c r="C340" i="15"/>
  <c r="B341" i="15"/>
  <c r="C341" i="15"/>
  <c r="B342" i="15"/>
  <c r="C342" i="15"/>
  <c r="B343" i="15"/>
  <c r="C343" i="15"/>
  <c r="B344" i="15"/>
  <c r="C344" i="15"/>
  <c r="B345" i="15"/>
  <c r="C345" i="15"/>
  <c r="B346" i="15"/>
  <c r="C346" i="15"/>
  <c r="B347" i="15"/>
  <c r="C347" i="15"/>
  <c r="B348" i="15"/>
  <c r="C348" i="15"/>
  <c r="B349" i="15"/>
  <c r="C349" i="15"/>
  <c r="C142" i="15"/>
  <c r="B142" i="15"/>
  <c r="B132" i="15"/>
  <c r="C132" i="15"/>
  <c r="E132" i="15"/>
  <c r="B133" i="15"/>
  <c r="C133" i="15"/>
  <c r="E133" i="15"/>
  <c r="B134" i="15"/>
  <c r="C134" i="15"/>
  <c r="E134" i="15"/>
  <c r="B135" i="15"/>
  <c r="C135" i="15"/>
  <c r="E135" i="15"/>
  <c r="E131" i="15"/>
  <c r="C131" i="15"/>
  <c r="B131" i="15"/>
  <c r="B18" i="15"/>
  <c r="C18" i="15"/>
  <c r="E18" i="15"/>
  <c r="B19" i="15"/>
  <c r="C19" i="15"/>
  <c r="E19" i="15"/>
  <c r="B20" i="15"/>
  <c r="C20" i="15"/>
  <c r="E20" i="15"/>
  <c r="B21" i="15"/>
  <c r="C21" i="15"/>
  <c r="E21" i="15"/>
  <c r="B22" i="15"/>
  <c r="C22" i="15"/>
  <c r="E22" i="15"/>
  <c r="B23" i="15"/>
  <c r="C23" i="15"/>
  <c r="E23" i="15"/>
  <c r="B24" i="15"/>
  <c r="C24" i="15"/>
  <c r="E24" i="15"/>
  <c r="B25" i="15"/>
  <c r="C25" i="15"/>
  <c r="E25" i="15"/>
  <c r="B26" i="15"/>
  <c r="C26" i="15"/>
  <c r="E26" i="15"/>
  <c r="B27" i="15"/>
  <c r="C27" i="15"/>
  <c r="E27" i="15"/>
  <c r="B28" i="15"/>
  <c r="C28" i="15"/>
  <c r="E28" i="15"/>
  <c r="B29" i="15"/>
  <c r="C29" i="15"/>
  <c r="E29" i="15"/>
  <c r="B30" i="15"/>
  <c r="C30" i="15"/>
  <c r="E30" i="15"/>
  <c r="B31" i="15"/>
  <c r="C31" i="15"/>
  <c r="E31" i="15"/>
  <c r="B32" i="15"/>
  <c r="C32" i="15"/>
  <c r="E32" i="15"/>
  <c r="B33" i="15"/>
  <c r="C33" i="15"/>
  <c r="E33" i="15"/>
  <c r="B34" i="15"/>
  <c r="C34" i="15"/>
  <c r="E34" i="15"/>
  <c r="B35" i="15"/>
  <c r="C35" i="15"/>
  <c r="E35" i="15"/>
  <c r="B36" i="15"/>
  <c r="C36" i="15"/>
  <c r="E36" i="15"/>
  <c r="B37" i="15"/>
  <c r="C37" i="15"/>
  <c r="E37" i="15"/>
  <c r="B38" i="15"/>
  <c r="C38" i="15"/>
  <c r="E38" i="15"/>
  <c r="B39" i="15"/>
  <c r="C39" i="15"/>
  <c r="E39" i="15"/>
  <c r="B40" i="15"/>
  <c r="C40" i="15"/>
  <c r="E40" i="15"/>
  <c r="B41" i="15"/>
  <c r="C41" i="15"/>
  <c r="E41" i="15"/>
  <c r="B42" i="15"/>
  <c r="C42" i="15"/>
  <c r="E42" i="15"/>
  <c r="B43" i="15"/>
  <c r="C43" i="15"/>
  <c r="E43" i="15"/>
  <c r="B44" i="15"/>
  <c r="C44" i="15"/>
  <c r="E44" i="15"/>
  <c r="B45" i="15"/>
  <c r="C45" i="15"/>
  <c r="E45" i="15"/>
  <c r="B46" i="15"/>
  <c r="C46" i="15"/>
  <c r="E46" i="15"/>
  <c r="B47" i="15"/>
  <c r="C47" i="15"/>
  <c r="E47" i="15"/>
  <c r="B48" i="15"/>
  <c r="C48" i="15"/>
  <c r="E48" i="15"/>
  <c r="B49" i="15"/>
  <c r="C49" i="15"/>
  <c r="E49" i="15"/>
  <c r="B50" i="15"/>
  <c r="C50" i="15"/>
  <c r="E50" i="15"/>
  <c r="B51" i="15"/>
  <c r="C51" i="15"/>
  <c r="E51" i="15"/>
  <c r="B52" i="15"/>
  <c r="C52" i="15"/>
  <c r="E52" i="15"/>
  <c r="B53" i="15"/>
  <c r="C53" i="15"/>
  <c r="E53" i="15"/>
  <c r="B54" i="15"/>
  <c r="C54" i="15"/>
  <c r="E54" i="15"/>
  <c r="B55" i="15"/>
  <c r="C55" i="15"/>
  <c r="E55" i="15"/>
  <c r="B56" i="15"/>
  <c r="C56" i="15"/>
  <c r="E56" i="15"/>
  <c r="B57" i="15"/>
  <c r="C57" i="15"/>
  <c r="E57" i="15"/>
  <c r="B58" i="15"/>
  <c r="C58" i="15"/>
  <c r="E58" i="15"/>
  <c r="B59" i="15"/>
  <c r="C59" i="15"/>
  <c r="E59" i="15"/>
  <c r="B60" i="15"/>
  <c r="C60" i="15"/>
  <c r="E60" i="15"/>
  <c r="B61" i="15"/>
  <c r="C61" i="15"/>
  <c r="E61" i="15"/>
  <c r="B62" i="15"/>
  <c r="C62" i="15"/>
  <c r="E62" i="15"/>
  <c r="B63" i="15"/>
  <c r="C63" i="15"/>
  <c r="E63" i="15"/>
  <c r="B64" i="15"/>
  <c r="C64" i="15"/>
  <c r="E64" i="15"/>
  <c r="B65" i="15"/>
  <c r="C65" i="15"/>
  <c r="E65" i="15"/>
  <c r="B66" i="15"/>
  <c r="C66" i="15"/>
  <c r="E66" i="15"/>
  <c r="B67" i="15"/>
  <c r="C67" i="15"/>
  <c r="E67" i="15"/>
  <c r="B68" i="15"/>
  <c r="C68" i="15"/>
  <c r="E68" i="15"/>
  <c r="B69" i="15"/>
  <c r="C69" i="15"/>
  <c r="E69" i="15"/>
  <c r="B70" i="15"/>
  <c r="C70" i="15"/>
  <c r="E70" i="15"/>
  <c r="B71" i="15"/>
  <c r="C71" i="15"/>
  <c r="E71" i="15"/>
  <c r="B72" i="15"/>
  <c r="C72" i="15"/>
  <c r="E72" i="15"/>
  <c r="B73" i="15"/>
  <c r="C73" i="15"/>
  <c r="E73" i="15"/>
  <c r="B74" i="15"/>
  <c r="C74" i="15"/>
  <c r="E74" i="15"/>
  <c r="B75" i="15"/>
  <c r="C75" i="15"/>
  <c r="E75" i="15"/>
  <c r="B76" i="15"/>
  <c r="C76" i="15"/>
  <c r="E76" i="15"/>
  <c r="B77" i="15"/>
  <c r="C77" i="15"/>
  <c r="E77" i="15"/>
  <c r="B78" i="15"/>
  <c r="C78" i="15"/>
  <c r="E78" i="15"/>
  <c r="B79" i="15"/>
  <c r="C79" i="15"/>
  <c r="E79" i="15"/>
  <c r="B80" i="15"/>
  <c r="C80" i="15"/>
  <c r="E80" i="15"/>
  <c r="B81" i="15"/>
  <c r="C81" i="15"/>
  <c r="E81" i="15"/>
  <c r="B82" i="15"/>
  <c r="C82" i="15"/>
  <c r="E82" i="15"/>
  <c r="B83" i="15"/>
  <c r="C83" i="15"/>
  <c r="E83" i="15"/>
  <c r="B84" i="15"/>
  <c r="C84" i="15"/>
  <c r="E84" i="15"/>
  <c r="B85" i="15"/>
  <c r="C85" i="15"/>
  <c r="E85" i="15"/>
  <c r="B86" i="15"/>
  <c r="C86" i="15"/>
  <c r="E86" i="15"/>
  <c r="B87" i="15"/>
  <c r="C87" i="15"/>
  <c r="E87" i="15"/>
  <c r="B88" i="15"/>
  <c r="C88" i="15"/>
  <c r="E88" i="15"/>
  <c r="B89" i="15"/>
  <c r="C89" i="15"/>
  <c r="E89" i="15"/>
  <c r="B90" i="15"/>
  <c r="C90" i="15"/>
  <c r="E90" i="15"/>
  <c r="B91" i="15"/>
  <c r="C91" i="15"/>
  <c r="E91" i="15"/>
  <c r="B92" i="15"/>
  <c r="C92" i="15"/>
  <c r="E92" i="15"/>
  <c r="B93" i="15"/>
  <c r="C93" i="15"/>
  <c r="E93" i="15"/>
  <c r="B94" i="15"/>
  <c r="C94" i="15"/>
  <c r="E94" i="15"/>
  <c r="B95" i="15"/>
  <c r="C95" i="15"/>
  <c r="E95" i="15"/>
  <c r="B96" i="15"/>
  <c r="C96" i="15"/>
  <c r="E96" i="15"/>
  <c r="B97" i="15"/>
  <c r="C97" i="15"/>
  <c r="E97" i="15"/>
  <c r="B98" i="15"/>
  <c r="C98" i="15"/>
  <c r="E98" i="15"/>
  <c r="B99" i="15"/>
  <c r="C99" i="15"/>
  <c r="E99" i="15"/>
  <c r="B100" i="15"/>
  <c r="C100" i="15"/>
  <c r="E100" i="15"/>
  <c r="B101" i="15"/>
  <c r="C101" i="15"/>
  <c r="E101" i="15"/>
  <c r="B102" i="15"/>
  <c r="C102" i="15"/>
  <c r="E102" i="15"/>
  <c r="B103" i="15"/>
  <c r="C103" i="15"/>
  <c r="E103" i="15"/>
  <c r="B104" i="15"/>
  <c r="C104" i="15"/>
  <c r="E104" i="15"/>
  <c r="B105" i="15"/>
  <c r="C105" i="15"/>
  <c r="E105" i="15"/>
  <c r="B106" i="15"/>
  <c r="C106" i="15"/>
  <c r="E106" i="15"/>
  <c r="B107" i="15"/>
  <c r="C107" i="15"/>
  <c r="E107" i="15"/>
  <c r="B108" i="15"/>
  <c r="C108" i="15"/>
  <c r="E108" i="15"/>
  <c r="B109" i="15"/>
  <c r="C109" i="15"/>
  <c r="E109" i="15"/>
  <c r="B110" i="15"/>
  <c r="C110" i="15"/>
  <c r="E110" i="15"/>
  <c r="B111" i="15"/>
  <c r="C111" i="15"/>
  <c r="E111" i="15"/>
  <c r="B112" i="15"/>
  <c r="C112" i="15"/>
  <c r="E112" i="15"/>
  <c r="B113" i="15"/>
  <c r="C113" i="15"/>
  <c r="E113" i="15"/>
  <c r="B114" i="15"/>
  <c r="C114" i="15"/>
  <c r="E114" i="15"/>
  <c r="B115" i="15"/>
  <c r="C115" i="15"/>
  <c r="E115" i="15"/>
  <c r="B116" i="15"/>
  <c r="C116" i="15"/>
  <c r="E116" i="15"/>
  <c r="B117" i="15"/>
  <c r="C117" i="15"/>
  <c r="E117" i="15"/>
  <c r="B118" i="15"/>
  <c r="C118" i="15"/>
  <c r="E118" i="15"/>
  <c r="B119" i="15"/>
  <c r="C119" i="15"/>
  <c r="E119" i="15"/>
  <c r="B120" i="15"/>
  <c r="C120" i="15"/>
  <c r="E120" i="15"/>
  <c r="B121" i="15"/>
  <c r="C121" i="15"/>
  <c r="E121" i="15"/>
  <c r="B122" i="15"/>
  <c r="C122" i="15"/>
  <c r="E122" i="15"/>
  <c r="B123" i="15"/>
  <c r="C123" i="15"/>
  <c r="E123" i="15"/>
  <c r="B124" i="15"/>
  <c r="C124" i="15"/>
  <c r="E124" i="15"/>
  <c r="B17" i="15"/>
  <c r="E17" i="15"/>
  <c r="C17" i="15"/>
  <c r="B16" i="15"/>
  <c r="C16" i="15"/>
  <c r="E16" i="15"/>
  <c r="C15" i="15"/>
  <c r="E15" i="15"/>
  <c r="B15" i="15"/>
  <c r="E14" i="15"/>
  <c r="C14" i="15"/>
  <c r="B14" i="15"/>
  <c r="E5" i="15"/>
  <c r="E6" i="15"/>
  <c r="E7" i="15"/>
  <c r="E8" i="15"/>
  <c r="E4" i="15"/>
  <c r="C5" i="15"/>
  <c r="C6" i="15"/>
  <c r="C7" i="15"/>
  <c r="C8" i="15"/>
  <c r="C4" i="15"/>
  <c r="B5" i="15"/>
  <c r="B6" i="15"/>
  <c r="B7" i="15"/>
  <c r="B8" i="15"/>
  <c r="B4" i="15"/>
  <c r="R174" i="9"/>
  <c r="R90" i="9"/>
  <c r="R91" i="9"/>
  <c r="R92" i="9"/>
  <c r="R93" i="9"/>
  <c r="R94" i="9"/>
  <c r="R95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1" i="9"/>
  <c r="R122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38" i="9"/>
  <c r="R139" i="9"/>
  <c r="R140" i="9"/>
  <c r="R141" i="9"/>
  <c r="R142" i="9"/>
  <c r="R143" i="9"/>
  <c r="R144" i="9"/>
  <c r="R89" i="9"/>
  <c r="Z36" i="9"/>
  <c r="Z37" i="9"/>
  <c r="Z38" i="9"/>
  <c r="Z39" i="9"/>
  <c r="Z40" i="9"/>
  <c r="Z41" i="9"/>
  <c r="Z42" i="9"/>
  <c r="Z43" i="9"/>
  <c r="Z44" i="9"/>
  <c r="Z45" i="9"/>
  <c r="Z46" i="9"/>
  <c r="Z47" i="9"/>
  <c r="Z48" i="9"/>
  <c r="Z49" i="9"/>
  <c r="Z50" i="9"/>
  <c r="Z51" i="9"/>
  <c r="Z52" i="9"/>
  <c r="Z53" i="9"/>
  <c r="Z54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0" i="9"/>
  <c r="Z71" i="9"/>
  <c r="Z72" i="9"/>
  <c r="Z73" i="9"/>
  <c r="Z74" i="9"/>
  <c r="Z75" i="9"/>
  <c r="Z76" i="9"/>
  <c r="Z77" i="9"/>
  <c r="Z78" i="9"/>
  <c r="Z79" i="9"/>
  <c r="Z80" i="9"/>
  <c r="Z81" i="9"/>
  <c r="Z82" i="9"/>
  <c r="Z83" i="9"/>
  <c r="Z84" i="9"/>
  <c r="Z85" i="9"/>
  <c r="Z86" i="9"/>
  <c r="Z87" i="9"/>
  <c r="Z88" i="9"/>
  <c r="Z33" i="9"/>
  <c r="Z34" i="9"/>
  <c r="Z35" i="9"/>
  <c r="D11" i="14" l="1"/>
  <c r="L9" i="17"/>
  <c r="E51" i="12"/>
  <c r="H4" i="4"/>
  <c r="H10" i="17"/>
  <c r="C437" i="16"/>
  <c r="D72" i="16"/>
  <c r="C126" i="16"/>
  <c r="D18" i="16"/>
  <c r="C137" i="16"/>
  <c r="F21" i="5" s="1"/>
  <c r="D132" i="16"/>
  <c r="D137" i="16" s="1"/>
  <c r="C9" i="16"/>
  <c r="F19" i="5" s="1"/>
  <c r="D4" i="16"/>
  <c r="D126" i="16"/>
  <c r="C436" i="15"/>
  <c r="C438" i="15" s="1"/>
  <c r="D131" i="15"/>
  <c r="D136" i="15" s="1"/>
  <c r="C136" i="15"/>
  <c r="D71" i="15"/>
  <c r="D17" i="15"/>
  <c r="C125" i="15"/>
  <c r="C127" i="15" s="1"/>
  <c r="D4" i="15"/>
  <c r="D14" i="15"/>
  <c r="D125" i="15" s="1"/>
  <c r="C9" i="15"/>
  <c r="C19" i="5" s="1"/>
  <c r="C23" i="5" s="1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6" i="4"/>
  <c r="G7" i="4"/>
  <c r="G8" i="4"/>
  <c r="G9" i="4"/>
  <c r="G5" i="4"/>
  <c r="C299" i="4"/>
  <c r="E299" i="4"/>
  <c r="F299" i="4"/>
  <c r="E513" i="9"/>
  <c r="R38" i="10"/>
  <c r="E38" i="10"/>
  <c r="P35" i="10"/>
  <c r="P34" i="10"/>
  <c r="L33" i="10"/>
  <c r="M32" i="10"/>
  <c r="L32" i="10"/>
  <c r="L31" i="10"/>
  <c r="M30" i="10"/>
  <c r="L30" i="10"/>
  <c r="I30" i="10"/>
  <c r="L29" i="10"/>
  <c r="P28" i="10"/>
  <c r="M28" i="10"/>
  <c r="L28" i="10"/>
  <c r="P27" i="10"/>
  <c r="L27" i="10"/>
  <c r="M26" i="10"/>
  <c r="L26" i="10"/>
  <c r="P23" i="10"/>
  <c r="L23" i="10"/>
  <c r="M25" i="10"/>
  <c r="L25" i="10"/>
  <c r="P22" i="10"/>
  <c r="L22" i="10"/>
  <c r="M24" i="10"/>
  <c r="L24" i="10"/>
  <c r="P21" i="10"/>
  <c r="L21" i="10"/>
  <c r="P20" i="10"/>
  <c r="L20" i="10"/>
  <c r="P19" i="10"/>
  <c r="L19" i="10"/>
  <c r="P18" i="10"/>
  <c r="L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Q83" i="6"/>
  <c r="P174" i="9"/>
  <c r="J10" i="5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F22" i="5" l="1"/>
  <c r="C439" i="16"/>
  <c r="F20" i="5"/>
  <c r="F23" i="5" s="1"/>
  <c r="C128" i="16"/>
  <c r="I97" i="4"/>
  <c r="L97" i="4" s="1"/>
  <c r="I73" i="4"/>
  <c r="L73" i="4" s="1"/>
  <c r="I120" i="4"/>
  <c r="L120" i="4" s="1"/>
  <c r="I56" i="4"/>
  <c r="L56" i="4" s="1"/>
  <c r="I231" i="4"/>
  <c r="L231" i="4" s="1"/>
  <c r="I47" i="4"/>
  <c r="L47" i="4" s="1"/>
  <c r="I222" i="4"/>
  <c r="L222" i="4" s="1"/>
  <c r="I247" i="4"/>
  <c r="L247" i="4" s="1"/>
  <c r="I143" i="4"/>
  <c r="L143" i="4" s="1"/>
  <c r="I119" i="4"/>
  <c r="L119" i="4" s="1"/>
  <c r="I262" i="4"/>
  <c r="L262" i="4" s="1"/>
  <c r="I205" i="4"/>
  <c r="L205" i="4" s="1"/>
  <c r="I181" i="4"/>
  <c r="L181" i="4" s="1"/>
  <c r="I173" i="4"/>
  <c r="L173" i="4" s="1"/>
  <c r="I117" i="4"/>
  <c r="L117" i="4" s="1"/>
  <c r="I230" i="4"/>
  <c r="L230" i="4" s="1"/>
  <c r="I244" i="4"/>
  <c r="L244" i="4" s="1"/>
  <c r="I236" i="4"/>
  <c r="L236" i="4" s="1"/>
  <c r="I223" i="4"/>
  <c r="L223" i="4" s="1"/>
  <c r="I87" i="4"/>
  <c r="L87" i="4" s="1"/>
  <c r="I251" i="4"/>
  <c r="L251" i="4" s="1"/>
  <c r="I211" i="4"/>
  <c r="L211" i="4" s="1"/>
  <c r="H249" i="4"/>
  <c r="I249" i="4" s="1"/>
  <c r="L249" i="4" s="1"/>
  <c r="H217" i="4"/>
  <c r="I217" i="4" s="1"/>
  <c r="L217" i="4" s="1"/>
  <c r="H153" i="4"/>
  <c r="I153" i="4" s="1"/>
  <c r="L153" i="4" s="1"/>
  <c r="H89" i="4"/>
  <c r="I89" i="4" s="1"/>
  <c r="L89" i="4" s="1"/>
  <c r="H25" i="4"/>
  <c r="I25" i="4" s="1"/>
  <c r="L25" i="4" s="1"/>
  <c r="H128" i="4"/>
  <c r="I128" i="4" s="1"/>
  <c r="L128" i="4" s="1"/>
  <c r="H120" i="4"/>
  <c r="H72" i="4"/>
  <c r="I72" i="4" s="1"/>
  <c r="L72" i="4" s="1"/>
  <c r="H64" i="4"/>
  <c r="I64" i="4" s="1"/>
  <c r="L64" i="4" s="1"/>
  <c r="H56" i="4"/>
  <c r="H5" i="4"/>
  <c r="I5" i="4" s="1"/>
  <c r="L5" i="4" s="1"/>
  <c r="H295" i="4"/>
  <c r="I295" i="4" s="1"/>
  <c r="L295" i="4" s="1"/>
  <c r="H287" i="4"/>
  <c r="I287" i="4" s="1"/>
  <c r="L287" i="4" s="1"/>
  <c r="H279" i="4"/>
  <c r="I279" i="4" s="1"/>
  <c r="L279" i="4" s="1"/>
  <c r="H271" i="4"/>
  <c r="I271" i="4" s="1"/>
  <c r="L271" i="4" s="1"/>
  <c r="H263" i="4"/>
  <c r="I263" i="4" s="1"/>
  <c r="L263" i="4" s="1"/>
  <c r="H255" i="4"/>
  <c r="I255" i="4" s="1"/>
  <c r="L255" i="4" s="1"/>
  <c r="H247" i="4"/>
  <c r="H239" i="4"/>
  <c r="I239" i="4" s="1"/>
  <c r="L239" i="4" s="1"/>
  <c r="H231" i="4"/>
  <c r="H223" i="4"/>
  <c r="H215" i="4"/>
  <c r="I215" i="4" s="1"/>
  <c r="L215" i="4" s="1"/>
  <c r="H207" i="4"/>
  <c r="I207" i="4" s="1"/>
  <c r="L207" i="4" s="1"/>
  <c r="H199" i="4"/>
  <c r="I199" i="4" s="1"/>
  <c r="L199" i="4" s="1"/>
  <c r="H191" i="4"/>
  <c r="I191" i="4" s="1"/>
  <c r="L191" i="4" s="1"/>
  <c r="H183" i="4"/>
  <c r="I183" i="4" s="1"/>
  <c r="L183" i="4" s="1"/>
  <c r="H175" i="4"/>
  <c r="I175" i="4" s="1"/>
  <c r="L175" i="4" s="1"/>
  <c r="H167" i="4"/>
  <c r="I167" i="4" s="1"/>
  <c r="L167" i="4" s="1"/>
  <c r="H159" i="4"/>
  <c r="I159" i="4" s="1"/>
  <c r="L159" i="4" s="1"/>
  <c r="H151" i="4"/>
  <c r="I151" i="4" s="1"/>
  <c r="L151" i="4" s="1"/>
  <c r="H143" i="4"/>
  <c r="H135" i="4"/>
  <c r="I135" i="4" s="1"/>
  <c r="L135" i="4" s="1"/>
  <c r="H127" i="4"/>
  <c r="I127" i="4" s="1"/>
  <c r="L127" i="4" s="1"/>
  <c r="H119" i="4"/>
  <c r="H111" i="4"/>
  <c r="I111" i="4" s="1"/>
  <c r="L111" i="4" s="1"/>
  <c r="H103" i="4"/>
  <c r="I103" i="4" s="1"/>
  <c r="L103" i="4" s="1"/>
  <c r="H95" i="4"/>
  <c r="I95" i="4" s="1"/>
  <c r="L95" i="4" s="1"/>
  <c r="H87" i="4"/>
  <c r="H79" i="4"/>
  <c r="I79" i="4" s="1"/>
  <c r="L79" i="4" s="1"/>
  <c r="H71" i="4"/>
  <c r="I71" i="4" s="1"/>
  <c r="L71" i="4" s="1"/>
  <c r="H63" i="4"/>
  <c r="I63" i="4" s="1"/>
  <c r="L63" i="4" s="1"/>
  <c r="H55" i="4"/>
  <c r="I55" i="4" s="1"/>
  <c r="L55" i="4" s="1"/>
  <c r="H47" i="4"/>
  <c r="H39" i="4"/>
  <c r="I39" i="4" s="1"/>
  <c r="L39" i="4" s="1"/>
  <c r="H31" i="4"/>
  <c r="I31" i="4" s="1"/>
  <c r="L31" i="4" s="1"/>
  <c r="H23" i="4"/>
  <c r="I23" i="4" s="1"/>
  <c r="L23" i="4" s="1"/>
  <c r="H15" i="4"/>
  <c r="I15" i="4" s="1"/>
  <c r="L15" i="4" s="1"/>
  <c r="H281" i="4"/>
  <c r="I281" i="4" s="1"/>
  <c r="L281" i="4" s="1"/>
  <c r="H9" i="4"/>
  <c r="I9" i="4" s="1"/>
  <c r="L9" i="4" s="1"/>
  <c r="H294" i="4"/>
  <c r="I294" i="4" s="1"/>
  <c r="L294" i="4" s="1"/>
  <c r="H286" i="4"/>
  <c r="I286" i="4" s="1"/>
  <c r="L286" i="4" s="1"/>
  <c r="H278" i="4"/>
  <c r="I278" i="4" s="1"/>
  <c r="L278" i="4" s="1"/>
  <c r="H270" i="4"/>
  <c r="I270" i="4" s="1"/>
  <c r="L270" i="4" s="1"/>
  <c r="H262" i="4"/>
  <c r="H254" i="4"/>
  <c r="I254" i="4" s="1"/>
  <c r="L254" i="4" s="1"/>
  <c r="H246" i="4"/>
  <c r="I246" i="4" s="1"/>
  <c r="L246" i="4" s="1"/>
  <c r="H238" i="4"/>
  <c r="I238" i="4" s="1"/>
  <c r="L238" i="4" s="1"/>
  <c r="H230" i="4"/>
  <c r="H222" i="4"/>
  <c r="H214" i="4"/>
  <c r="I214" i="4" s="1"/>
  <c r="L214" i="4" s="1"/>
  <c r="H206" i="4"/>
  <c r="I206" i="4" s="1"/>
  <c r="L206" i="4" s="1"/>
  <c r="H198" i="4"/>
  <c r="I198" i="4" s="1"/>
  <c r="L198" i="4" s="1"/>
  <c r="H190" i="4"/>
  <c r="I190" i="4" s="1"/>
  <c r="L190" i="4" s="1"/>
  <c r="H182" i="4"/>
  <c r="I182" i="4" s="1"/>
  <c r="L182" i="4" s="1"/>
  <c r="H174" i="4"/>
  <c r="I174" i="4" s="1"/>
  <c r="L174" i="4" s="1"/>
  <c r="H166" i="4"/>
  <c r="I166" i="4" s="1"/>
  <c r="L166" i="4" s="1"/>
  <c r="H158" i="4"/>
  <c r="I158" i="4" s="1"/>
  <c r="L158" i="4" s="1"/>
  <c r="H150" i="4"/>
  <c r="I150" i="4" s="1"/>
  <c r="L150" i="4" s="1"/>
  <c r="H142" i="4"/>
  <c r="I142" i="4" s="1"/>
  <c r="L142" i="4" s="1"/>
  <c r="H134" i="4"/>
  <c r="I134" i="4" s="1"/>
  <c r="L134" i="4" s="1"/>
  <c r="H126" i="4"/>
  <c r="I126" i="4" s="1"/>
  <c r="L126" i="4" s="1"/>
  <c r="H118" i="4"/>
  <c r="I118" i="4" s="1"/>
  <c r="L118" i="4" s="1"/>
  <c r="H110" i="4"/>
  <c r="I110" i="4" s="1"/>
  <c r="L110" i="4" s="1"/>
  <c r="H102" i="4"/>
  <c r="I102" i="4" s="1"/>
  <c r="L102" i="4" s="1"/>
  <c r="H94" i="4"/>
  <c r="I94" i="4" s="1"/>
  <c r="L94" i="4" s="1"/>
  <c r="H86" i="4"/>
  <c r="I86" i="4" s="1"/>
  <c r="L86" i="4" s="1"/>
  <c r="H78" i="4"/>
  <c r="I78" i="4" s="1"/>
  <c r="L78" i="4" s="1"/>
  <c r="H70" i="4"/>
  <c r="I70" i="4" s="1"/>
  <c r="L70" i="4" s="1"/>
  <c r="H62" i="4"/>
  <c r="I62" i="4" s="1"/>
  <c r="L62" i="4" s="1"/>
  <c r="H54" i="4"/>
  <c r="I54" i="4" s="1"/>
  <c r="L54" i="4" s="1"/>
  <c r="H46" i="4"/>
  <c r="I46" i="4" s="1"/>
  <c r="L46" i="4" s="1"/>
  <c r="H38" i="4"/>
  <c r="I38" i="4" s="1"/>
  <c r="L38" i="4" s="1"/>
  <c r="H30" i="4"/>
  <c r="I30" i="4" s="1"/>
  <c r="L30" i="4" s="1"/>
  <c r="H22" i="4"/>
  <c r="I22" i="4" s="1"/>
  <c r="L22" i="4" s="1"/>
  <c r="H14" i="4"/>
  <c r="I14" i="4" s="1"/>
  <c r="L14" i="4" s="1"/>
  <c r="H192" i="4"/>
  <c r="I192" i="4" s="1"/>
  <c r="L192" i="4" s="1"/>
  <c r="H8" i="4"/>
  <c r="I8" i="4" s="1"/>
  <c r="L8" i="4" s="1"/>
  <c r="H293" i="4"/>
  <c r="I293" i="4" s="1"/>
  <c r="L293" i="4" s="1"/>
  <c r="H285" i="4"/>
  <c r="I285" i="4" s="1"/>
  <c r="L285" i="4" s="1"/>
  <c r="H277" i="4"/>
  <c r="I277" i="4" s="1"/>
  <c r="L277" i="4" s="1"/>
  <c r="H269" i="4"/>
  <c r="I269" i="4" s="1"/>
  <c r="L269" i="4" s="1"/>
  <c r="H261" i="4"/>
  <c r="I261" i="4" s="1"/>
  <c r="L261" i="4" s="1"/>
  <c r="H253" i="4"/>
  <c r="I253" i="4" s="1"/>
  <c r="L253" i="4" s="1"/>
  <c r="H245" i="4"/>
  <c r="I245" i="4" s="1"/>
  <c r="L245" i="4" s="1"/>
  <c r="H237" i="4"/>
  <c r="I237" i="4" s="1"/>
  <c r="L237" i="4" s="1"/>
  <c r="H229" i="4"/>
  <c r="I229" i="4" s="1"/>
  <c r="L229" i="4" s="1"/>
  <c r="H221" i="4"/>
  <c r="I221" i="4" s="1"/>
  <c r="L221" i="4" s="1"/>
  <c r="H213" i="4"/>
  <c r="I213" i="4" s="1"/>
  <c r="L213" i="4" s="1"/>
  <c r="H205" i="4"/>
  <c r="H197" i="4"/>
  <c r="I197" i="4" s="1"/>
  <c r="L197" i="4" s="1"/>
  <c r="H189" i="4"/>
  <c r="I189" i="4" s="1"/>
  <c r="L189" i="4" s="1"/>
  <c r="H181" i="4"/>
  <c r="H173" i="4"/>
  <c r="H165" i="4"/>
  <c r="I165" i="4" s="1"/>
  <c r="L165" i="4" s="1"/>
  <c r="H157" i="4"/>
  <c r="I157" i="4" s="1"/>
  <c r="L157" i="4" s="1"/>
  <c r="H149" i="4"/>
  <c r="I149" i="4" s="1"/>
  <c r="L149" i="4" s="1"/>
  <c r="H141" i="4"/>
  <c r="I141" i="4" s="1"/>
  <c r="L141" i="4" s="1"/>
  <c r="H133" i="4"/>
  <c r="I133" i="4" s="1"/>
  <c r="L133" i="4" s="1"/>
  <c r="H125" i="4"/>
  <c r="I125" i="4" s="1"/>
  <c r="L125" i="4" s="1"/>
  <c r="H117" i="4"/>
  <c r="H109" i="4"/>
  <c r="I109" i="4" s="1"/>
  <c r="L109" i="4" s="1"/>
  <c r="H101" i="4"/>
  <c r="I101" i="4" s="1"/>
  <c r="L101" i="4" s="1"/>
  <c r="H93" i="4"/>
  <c r="I93" i="4" s="1"/>
  <c r="L93" i="4" s="1"/>
  <c r="H85" i="4"/>
  <c r="I85" i="4" s="1"/>
  <c r="L85" i="4" s="1"/>
  <c r="H77" i="4"/>
  <c r="I77" i="4" s="1"/>
  <c r="L77" i="4" s="1"/>
  <c r="H69" i="4"/>
  <c r="I69" i="4" s="1"/>
  <c r="L69" i="4" s="1"/>
  <c r="H61" i="4"/>
  <c r="I61" i="4" s="1"/>
  <c r="L61" i="4" s="1"/>
  <c r="H53" i="4"/>
  <c r="I53" i="4" s="1"/>
  <c r="L53" i="4" s="1"/>
  <c r="H45" i="4"/>
  <c r="I45" i="4" s="1"/>
  <c r="L45" i="4" s="1"/>
  <c r="H37" i="4"/>
  <c r="I37" i="4" s="1"/>
  <c r="L37" i="4" s="1"/>
  <c r="H29" i="4"/>
  <c r="I29" i="4" s="1"/>
  <c r="L29" i="4" s="1"/>
  <c r="H21" i="4"/>
  <c r="I21" i="4" s="1"/>
  <c r="L21" i="4" s="1"/>
  <c r="H13" i="4"/>
  <c r="I13" i="4" s="1"/>
  <c r="L13" i="4" s="1"/>
  <c r="H184" i="4"/>
  <c r="I184" i="4" s="1"/>
  <c r="L184" i="4" s="1"/>
  <c r="H7" i="4"/>
  <c r="I7" i="4" s="1"/>
  <c r="L7" i="4" s="1"/>
  <c r="H292" i="4"/>
  <c r="I292" i="4" s="1"/>
  <c r="L292" i="4" s="1"/>
  <c r="H284" i="4"/>
  <c r="I284" i="4" s="1"/>
  <c r="L284" i="4" s="1"/>
  <c r="H276" i="4"/>
  <c r="I276" i="4" s="1"/>
  <c r="L276" i="4" s="1"/>
  <c r="H268" i="4"/>
  <c r="I268" i="4" s="1"/>
  <c r="L268" i="4" s="1"/>
  <c r="H260" i="4"/>
  <c r="I260" i="4" s="1"/>
  <c r="L260" i="4" s="1"/>
  <c r="H252" i="4"/>
  <c r="I252" i="4" s="1"/>
  <c r="L252" i="4" s="1"/>
  <c r="H244" i="4"/>
  <c r="H236" i="4"/>
  <c r="H228" i="4"/>
  <c r="I228" i="4" s="1"/>
  <c r="L228" i="4" s="1"/>
  <c r="H220" i="4"/>
  <c r="I220" i="4" s="1"/>
  <c r="L220" i="4" s="1"/>
  <c r="H212" i="4"/>
  <c r="I212" i="4" s="1"/>
  <c r="L212" i="4" s="1"/>
  <c r="H204" i="4"/>
  <c r="I204" i="4" s="1"/>
  <c r="L204" i="4" s="1"/>
  <c r="H196" i="4"/>
  <c r="I196" i="4" s="1"/>
  <c r="L196" i="4" s="1"/>
  <c r="H188" i="4"/>
  <c r="I188" i="4" s="1"/>
  <c r="L188" i="4" s="1"/>
  <c r="H180" i="4"/>
  <c r="I180" i="4" s="1"/>
  <c r="L180" i="4" s="1"/>
  <c r="H172" i="4"/>
  <c r="I172" i="4" s="1"/>
  <c r="L172" i="4" s="1"/>
  <c r="H164" i="4"/>
  <c r="I164" i="4" s="1"/>
  <c r="L164" i="4" s="1"/>
  <c r="H156" i="4"/>
  <c r="I156" i="4" s="1"/>
  <c r="L156" i="4" s="1"/>
  <c r="H148" i="4"/>
  <c r="I148" i="4" s="1"/>
  <c r="L148" i="4" s="1"/>
  <c r="H140" i="4"/>
  <c r="I140" i="4" s="1"/>
  <c r="L140" i="4" s="1"/>
  <c r="H132" i="4"/>
  <c r="I132" i="4" s="1"/>
  <c r="L132" i="4" s="1"/>
  <c r="H124" i="4"/>
  <c r="I124" i="4" s="1"/>
  <c r="L124" i="4" s="1"/>
  <c r="H116" i="4"/>
  <c r="I116" i="4" s="1"/>
  <c r="L116" i="4" s="1"/>
  <c r="H108" i="4"/>
  <c r="I108" i="4" s="1"/>
  <c r="L108" i="4" s="1"/>
  <c r="H100" i="4"/>
  <c r="I100" i="4" s="1"/>
  <c r="L100" i="4" s="1"/>
  <c r="H92" i="4"/>
  <c r="I92" i="4" s="1"/>
  <c r="L92" i="4" s="1"/>
  <c r="H84" i="4"/>
  <c r="I84" i="4" s="1"/>
  <c r="L84" i="4" s="1"/>
  <c r="H76" i="4"/>
  <c r="I76" i="4" s="1"/>
  <c r="L76" i="4" s="1"/>
  <c r="H68" i="4"/>
  <c r="I68" i="4" s="1"/>
  <c r="L68" i="4" s="1"/>
  <c r="H60" i="4"/>
  <c r="I60" i="4" s="1"/>
  <c r="L60" i="4" s="1"/>
  <c r="H52" i="4"/>
  <c r="I52" i="4" s="1"/>
  <c r="L52" i="4" s="1"/>
  <c r="H44" i="4"/>
  <c r="I44" i="4" s="1"/>
  <c r="L44" i="4" s="1"/>
  <c r="H36" i="4"/>
  <c r="I36" i="4" s="1"/>
  <c r="L36" i="4" s="1"/>
  <c r="H28" i="4"/>
  <c r="I28" i="4" s="1"/>
  <c r="L28" i="4" s="1"/>
  <c r="H20" i="4"/>
  <c r="I20" i="4" s="1"/>
  <c r="L20" i="4" s="1"/>
  <c r="H12" i="4"/>
  <c r="I12" i="4" s="1"/>
  <c r="L12" i="4" s="1"/>
  <c r="H6" i="4"/>
  <c r="I6" i="4" s="1"/>
  <c r="L6" i="4" s="1"/>
  <c r="H291" i="4"/>
  <c r="I291" i="4" s="1"/>
  <c r="L291" i="4" s="1"/>
  <c r="H283" i="4"/>
  <c r="I283" i="4" s="1"/>
  <c r="L283" i="4" s="1"/>
  <c r="H275" i="4"/>
  <c r="I275" i="4" s="1"/>
  <c r="L275" i="4" s="1"/>
  <c r="H267" i="4"/>
  <c r="I267" i="4" s="1"/>
  <c r="L267" i="4" s="1"/>
  <c r="H259" i="4"/>
  <c r="I259" i="4" s="1"/>
  <c r="L259" i="4" s="1"/>
  <c r="H251" i="4"/>
  <c r="H243" i="4"/>
  <c r="I243" i="4" s="1"/>
  <c r="L243" i="4" s="1"/>
  <c r="H235" i="4"/>
  <c r="I235" i="4" s="1"/>
  <c r="L235" i="4" s="1"/>
  <c r="H227" i="4"/>
  <c r="I227" i="4" s="1"/>
  <c r="L227" i="4" s="1"/>
  <c r="H219" i="4"/>
  <c r="I219" i="4" s="1"/>
  <c r="L219" i="4" s="1"/>
  <c r="H211" i="4"/>
  <c r="H203" i="4"/>
  <c r="I203" i="4" s="1"/>
  <c r="L203" i="4" s="1"/>
  <c r="H195" i="4"/>
  <c r="I195" i="4" s="1"/>
  <c r="L195" i="4" s="1"/>
  <c r="H187" i="4"/>
  <c r="I187" i="4" s="1"/>
  <c r="L187" i="4" s="1"/>
  <c r="H179" i="4"/>
  <c r="I179" i="4" s="1"/>
  <c r="L179" i="4" s="1"/>
  <c r="H171" i="4"/>
  <c r="I171" i="4" s="1"/>
  <c r="L171" i="4" s="1"/>
  <c r="H163" i="4"/>
  <c r="I163" i="4" s="1"/>
  <c r="L163" i="4" s="1"/>
  <c r="H155" i="4"/>
  <c r="I155" i="4" s="1"/>
  <c r="L155" i="4" s="1"/>
  <c r="H147" i="4"/>
  <c r="I147" i="4" s="1"/>
  <c r="L147" i="4" s="1"/>
  <c r="H139" i="4"/>
  <c r="I139" i="4" s="1"/>
  <c r="L139" i="4" s="1"/>
  <c r="H131" i="4"/>
  <c r="I131" i="4" s="1"/>
  <c r="L131" i="4" s="1"/>
  <c r="H123" i="4"/>
  <c r="I123" i="4" s="1"/>
  <c r="L123" i="4" s="1"/>
  <c r="H115" i="4"/>
  <c r="I115" i="4" s="1"/>
  <c r="L115" i="4" s="1"/>
  <c r="H107" i="4"/>
  <c r="I107" i="4" s="1"/>
  <c r="L107" i="4" s="1"/>
  <c r="H99" i="4"/>
  <c r="I99" i="4" s="1"/>
  <c r="L99" i="4" s="1"/>
  <c r="H91" i="4"/>
  <c r="I91" i="4" s="1"/>
  <c r="L91" i="4" s="1"/>
  <c r="H83" i="4"/>
  <c r="I83" i="4" s="1"/>
  <c r="L83" i="4" s="1"/>
  <c r="H75" i="4"/>
  <c r="I75" i="4" s="1"/>
  <c r="L75" i="4" s="1"/>
  <c r="H67" i="4"/>
  <c r="I67" i="4" s="1"/>
  <c r="L67" i="4" s="1"/>
  <c r="H59" i="4"/>
  <c r="I59" i="4" s="1"/>
  <c r="L59" i="4" s="1"/>
  <c r="H51" i="4"/>
  <c r="I51" i="4" s="1"/>
  <c r="L51" i="4" s="1"/>
  <c r="H43" i="4"/>
  <c r="I43" i="4" s="1"/>
  <c r="L43" i="4" s="1"/>
  <c r="H35" i="4"/>
  <c r="I35" i="4" s="1"/>
  <c r="L35" i="4" s="1"/>
  <c r="H27" i="4"/>
  <c r="I27" i="4" s="1"/>
  <c r="L27" i="4" s="1"/>
  <c r="H19" i="4"/>
  <c r="I19" i="4" s="1"/>
  <c r="L19" i="4" s="1"/>
  <c r="H11" i="4"/>
  <c r="I11" i="4" s="1"/>
  <c r="L11" i="4" s="1"/>
  <c r="H282" i="4"/>
  <c r="I282" i="4" s="1"/>
  <c r="L282" i="4" s="1"/>
  <c r="H242" i="4"/>
  <c r="I242" i="4" s="1"/>
  <c r="L242" i="4" s="1"/>
  <c r="H218" i="4"/>
  <c r="I218" i="4" s="1"/>
  <c r="L218" i="4" s="1"/>
  <c r="H162" i="4"/>
  <c r="I162" i="4" s="1"/>
  <c r="L162" i="4" s="1"/>
  <c r="H122" i="4"/>
  <c r="I122" i="4" s="1"/>
  <c r="L122" i="4" s="1"/>
  <c r="H90" i="4"/>
  <c r="I90" i="4" s="1"/>
  <c r="L90" i="4" s="1"/>
  <c r="H66" i="4"/>
  <c r="I66" i="4" s="1"/>
  <c r="L66" i="4" s="1"/>
  <c r="H42" i="4"/>
  <c r="I42" i="4" s="1"/>
  <c r="L42" i="4" s="1"/>
  <c r="H34" i="4"/>
  <c r="I34" i="4" s="1"/>
  <c r="L34" i="4" s="1"/>
  <c r="H273" i="4"/>
  <c r="I273" i="4" s="1"/>
  <c r="L273" i="4" s="1"/>
  <c r="H241" i="4"/>
  <c r="I241" i="4" s="1"/>
  <c r="L241" i="4" s="1"/>
  <c r="H209" i="4"/>
  <c r="I209" i="4" s="1"/>
  <c r="L209" i="4" s="1"/>
  <c r="H185" i="4"/>
  <c r="I185" i="4" s="1"/>
  <c r="L185" i="4" s="1"/>
  <c r="H129" i="4"/>
  <c r="I129" i="4" s="1"/>
  <c r="L129" i="4" s="1"/>
  <c r="H97" i="4"/>
  <c r="H81" i="4"/>
  <c r="I81" i="4" s="1"/>
  <c r="L81" i="4" s="1"/>
  <c r="H73" i="4"/>
  <c r="H57" i="4"/>
  <c r="I57" i="4" s="1"/>
  <c r="L57" i="4" s="1"/>
  <c r="H49" i="4"/>
  <c r="I49" i="4" s="1"/>
  <c r="L49" i="4" s="1"/>
  <c r="H41" i="4"/>
  <c r="I41" i="4" s="1"/>
  <c r="L41" i="4" s="1"/>
  <c r="H17" i="4"/>
  <c r="I17" i="4" s="1"/>
  <c r="L17" i="4" s="1"/>
  <c r="H296" i="4"/>
  <c r="I296" i="4" s="1"/>
  <c r="L296" i="4" s="1"/>
  <c r="H288" i="4"/>
  <c r="I288" i="4" s="1"/>
  <c r="L288" i="4" s="1"/>
  <c r="H280" i="4"/>
  <c r="I280" i="4" s="1"/>
  <c r="L280" i="4" s="1"/>
  <c r="H272" i="4"/>
  <c r="I272" i="4" s="1"/>
  <c r="L272" i="4" s="1"/>
  <c r="H264" i="4"/>
  <c r="I264" i="4" s="1"/>
  <c r="L264" i="4" s="1"/>
  <c r="H256" i="4"/>
  <c r="I256" i="4" s="1"/>
  <c r="L256" i="4" s="1"/>
  <c r="H248" i="4"/>
  <c r="I248" i="4" s="1"/>
  <c r="L248" i="4" s="1"/>
  <c r="H240" i="4"/>
  <c r="I240" i="4" s="1"/>
  <c r="L240" i="4" s="1"/>
  <c r="H232" i="4"/>
  <c r="I232" i="4" s="1"/>
  <c r="L232" i="4" s="1"/>
  <c r="H224" i="4"/>
  <c r="I224" i="4" s="1"/>
  <c r="L224" i="4" s="1"/>
  <c r="H216" i="4"/>
  <c r="I216" i="4" s="1"/>
  <c r="L216" i="4" s="1"/>
  <c r="H208" i="4"/>
  <c r="I208" i="4" s="1"/>
  <c r="L208" i="4" s="1"/>
  <c r="H200" i="4"/>
  <c r="I200" i="4" s="1"/>
  <c r="L200" i="4" s="1"/>
  <c r="H176" i="4"/>
  <c r="I176" i="4" s="1"/>
  <c r="L176" i="4" s="1"/>
  <c r="H168" i="4"/>
  <c r="I168" i="4" s="1"/>
  <c r="L168" i="4" s="1"/>
  <c r="H160" i="4"/>
  <c r="I160" i="4" s="1"/>
  <c r="L160" i="4" s="1"/>
  <c r="H152" i="4"/>
  <c r="I152" i="4" s="1"/>
  <c r="L152" i="4" s="1"/>
  <c r="H144" i="4"/>
  <c r="I144" i="4" s="1"/>
  <c r="L144" i="4" s="1"/>
  <c r="H136" i="4"/>
  <c r="I136" i="4" s="1"/>
  <c r="L136" i="4" s="1"/>
  <c r="H112" i="4"/>
  <c r="I112" i="4" s="1"/>
  <c r="L112" i="4" s="1"/>
  <c r="H104" i="4"/>
  <c r="I104" i="4" s="1"/>
  <c r="L104" i="4" s="1"/>
  <c r="H96" i="4"/>
  <c r="I96" i="4" s="1"/>
  <c r="L96" i="4" s="1"/>
  <c r="H88" i="4"/>
  <c r="I88" i="4" s="1"/>
  <c r="L88" i="4" s="1"/>
  <c r="H80" i="4"/>
  <c r="I80" i="4" s="1"/>
  <c r="L80" i="4" s="1"/>
  <c r="H48" i="4"/>
  <c r="I48" i="4" s="1"/>
  <c r="L48" i="4" s="1"/>
  <c r="H40" i="4"/>
  <c r="I40" i="4" s="1"/>
  <c r="L40" i="4" s="1"/>
  <c r="H32" i="4"/>
  <c r="I32" i="4" s="1"/>
  <c r="L32" i="4" s="1"/>
  <c r="H24" i="4"/>
  <c r="I24" i="4" s="1"/>
  <c r="L24" i="4" s="1"/>
  <c r="H16" i="4"/>
  <c r="I16" i="4" s="1"/>
  <c r="L16" i="4" s="1"/>
  <c r="H266" i="4"/>
  <c r="I266" i="4" s="1"/>
  <c r="L266" i="4" s="1"/>
  <c r="H170" i="4"/>
  <c r="I170" i="4" s="1"/>
  <c r="L170" i="4" s="1"/>
  <c r="H74" i="4"/>
  <c r="I74" i="4" s="1"/>
  <c r="L74" i="4" s="1"/>
  <c r="H121" i="4"/>
  <c r="I121" i="4" s="1"/>
  <c r="L121" i="4" s="1"/>
  <c r="H274" i="4"/>
  <c r="I274" i="4" s="1"/>
  <c r="L274" i="4" s="1"/>
  <c r="H234" i="4"/>
  <c r="I234" i="4" s="1"/>
  <c r="L234" i="4" s="1"/>
  <c r="H186" i="4"/>
  <c r="I186" i="4" s="1"/>
  <c r="L186" i="4" s="1"/>
  <c r="H130" i="4"/>
  <c r="I130" i="4" s="1"/>
  <c r="L130" i="4" s="1"/>
  <c r="H98" i="4"/>
  <c r="I98" i="4" s="1"/>
  <c r="L98" i="4" s="1"/>
  <c r="H26" i="4"/>
  <c r="I26" i="4" s="1"/>
  <c r="L26" i="4" s="1"/>
  <c r="H233" i="4"/>
  <c r="I233" i="4" s="1"/>
  <c r="L233" i="4" s="1"/>
  <c r="H169" i="4"/>
  <c r="I169" i="4" s="1"/>
  <c r="L169" i="4" s="1"/>
  <c r="H105" i="4"/>
  <c r="I105" i="4" s="1"/>
  <c r="L105" i="4" s="1"/>
  <c r="H290" i="4"/>
  <c r="I290" i="4" s="1"/>
  <c r="L290" i="4" s="1"/>
  <c r="H250" i="4"/>
  <c r="I250" i="4" s="1"/>
  <c r="L250" i="4" s="1"/>
  <c r="H210" i="4"/>
  <c r="I210" i="4" s="1"/>
  <c r="L210" i="4" s="1"/>
  <c r="H194" i="4"/>
  <c r="I194" i="4" s="1"/>
  <c r="L194" i="4" s="1"/>
  <c r="H154" i="4"/>
  <c r="I154" i="4" s="1"/>
  <c r="L154" i="4" s="1"/>
  <c r="H138" i="4"/>
  <c r="I138" i="4" s="1"/>
  <c r="L138" i="4" s="1"/>
  <c r="H114" i="4"/>
  <c r="I114" i="4" s="1"/>
  <c r="L114" i="4" s="1"/>
  <c r="H82" i="4"/>
  <c r="I82" i="4" s="1"/>
  <c r="L82" i="4" s="1"/>
  <c r="H50" i="4"/>
  <c r="I50" i="4" s="1"/>
  <c r="L50" i="4" s="1"/>
  <c r="H10" i="4"/>
  <c r="I10" i="4" s="1"/>
  <c r="L10" i="4" s="1"/>
  <c r="H297" i="4"/>
  <c r="I297" i="4" s="1"/>
  <c r="L297" i="4" s="1"/>
  <c r="H265" i="4"/>
  <c r="I265" i="4" s="1"/>
  <c r="L265" i="4" s="1"/>
  <c r="H225" i="4"/>
  <c r="I225" i="4" s="1"/>
  <c r="L225" i="4" s="1"/>
  <c r="H193" i="4"/>
  <c r="I193" i="4" s="1"/>
  <c r="L193" i="4" s="1"/>
  <c r="H177" i="4"/>
  <c r="I177" i="4" s="1"/>
  <c r="L177" i="4" s="1"/>
  <c r="H161" i="4"/>
  <c r="I161" i="4" s="1"/>
  <c r="L161" i="4" s="1"/>
  <c r="H145" i="4"/>
  <c r="I145" i="4" s="1"/>
  <c r="L145" i="4" s="1"/>
  <c r="H113" i="4"/>
  <c r="I113" i="4" s="1"/>
  <c r="L113" i="4" s="1"/>
  <c r="H65" i="4"/>
  <c r="I65" i="4" s="1"/>
  <c r="L65" i="4" s="1"/>
  <c r="H33" i="4"/>
  <c r="I33" i="4" s="1"/>
  <c r="L33" i="4" s="1"/>
  <c r="H298" i="4"/>
  <c r="I298" i="4" s="1"/>
  <c r="L298" i="4" s="1"/>
  <c r="H258" i="4"/>
  <c r="I258" i="4" s="1"/>
  <c r="L258" i="4" s="1"/>
  <c r="H226" i="4"/>
  <c r="I226" i="4" s="1"/>
  <c r="L226" i="4" s="1"/>
  <c r="H202" i="4"/>
  <c r="I202" i="4" s="1"/>
  <c r="L202" i="4" s="1"/>
  <c r="H178" i="4"/>
  <c r="I178" i="4" s="1"/>
  <c r="L178" i="4" s="1"/>
  <c r="H146" i="4"/>
  <c r="I146" i="4" s="1"/>
  <c r="L146" i="4" s="1"/>
  <c r="H106" i="4"/>
  <c r="I106" i="4" s="1"/>
  <c r="L106" i="4" s="1"/>
  <c r="H58" i="4"/>
  <c r="I58" i="4" s="1"/>
  <c r="L58" i="4" s="1"/>
  <c r="H18" i="4"/>
  <c r="I18" i="4" s="1"/>
  <c r="L18" i="4" s="1"/>
  <c r="H289" i="4"/>
  <c r="I289" i="4" s="1"/>
  <c r="L289" i="4" s="1"/>
  <c r="H257" i="4"/>
  <c r="I257" i="4" s="1"/>
  <c r="L257" i="4" s="1"/>
  <c r="H201" i="4"/>
  <c r="I201" i="4" s="1"/>
  <c r="L201" i="4" s="1"/>
  <c r="H137" i="4"/>
  <c r="I137" i="4" s="1"/>
  <c r="L137" i="4" s="1"/>
  <c r="D299" i="4"/>
  <c r="G299" i="4"/>
  <c r="M38" i="10"/>
  <c r="I38" i="10"/>
  <c r="H38" i="10"/>
  <c r="P38" i="10" s="1"/>
  <c r="Q35" i="10"/>
  <c r="Q28" i="10"/>
  <c r="Q27" i="10"/>
  <c r="Q23" i="10"/>
  <c r="Q22" i="10"/>
  <c r="Q19" i="10"/>
  <c r="Q18" i="10"/>
  <c r="L17" i="10"/>
  <c r="L16" i="10"/>
  <c r="P15" i="10"/>
  <c r="Q15" i="10" s="1"/>
  <c r="L15" i="10"/>
  <c r="P14" i="10"/>
  <c r="Q14" i="10" s="1"/>
  <c r="L14" i="10"/>
  <c r="L13" i="10"/>
  <c r="P10" i="10"/>
  <c r="Q10" i="10" s="1"/>
  <c r="L10" i="10"/>
  <c r="P9" i="10"/>
  <c r="Q9" i="10" s="1"/>
  <c r="P8" i="10"/>
  <c r="Q8" i="10" s="1"/>
  <c r="P7" i="10"/>
  <c r="Q7" i="10" s="1"/>
  <c r="Q34" i="10"/>
  <c r="Q21" i="10"/>
  <c r="Q20" i="10"/>
  <c r="P17" i="10"/>
  <c r="Q17" i="10" s="1"/>
  <c r="P16" i="10"/>
  <c r="Q16" i="10" s="1"/>
  <c r="P13" i="10"/>
  <c r="Q13" i="10" s="1"/>
  <c r="P12" i="10"/>
  <c r="Q12" i="10" s="1"/>
  <c r="L12" i="10"/>
  <c r="P11" i="10"/>
  <c r="Q11" i="10" s="1"/>
  <c r="L11" i="10"/>
  <c r="L9" i="10"/>
  <c r="L8" i="10"/>
  <c r="L7" i="10"/>
  <c r="P6" i="10"/>
  <c r="Q6" i="10" s="1"/>
  <c r="L6" i="10"/>
  <c r="L38" i="10" l="1"/>
  <c r="J9" i="5"/>
  <c r="J11" i="5" s="1"/>
  <c r="J12" i="5" s="1"/>
  <c r="N174" i="9" l="1"/>
  <c r="O47" i="6"/>
  <c r="O71" i="6"/>
  <c r="K174" i="9"/>
  <c r="F9" i="5" l="1"/>
  <c r="O45" i="6"/>
  <c r="O35" i="6"/>
  <c r="O36" i="6"/>
  <c r="O38" i="6"/>
  <c r="O37" i="6"/>
  <c r="O40" i="6"/>
  <c r="O39" i="6"/>
  <c r="O42" i="6"/>
  <c r="O41" i="6"/>
  <c r="O44" i="6"/>
  <c r="O43" i="6"/>
  <c r="O46" i="6"/>
  <c r="F8" i="5" l="1"/>
  <c r="O83" i="6"/>
  <c r="F11" i="5" s="1"/>
  <c r="F449" i="11"/>
  <c r="F152" i="6" l="1"/>
  <c r="F175" i="6" s="1"/>
  <c r="E332" i="9"/>
  <c r="C9" i="5" s="1"/>
  <c r="D404" i="11" l="1"/>
  <c r="D6" i="11" s="1"/>
  <c r="F24" i="11"/>
  <c r="F23" i="11"/>
  <c r="F22" i="11"/>
  <c r="F21" i="11"/>
  <c r="F20" i="11"/>
  <c r="F19" i="11"/>
  <c r="F18" i="11"/>
  <c r="F17" i="11"/>
  <c r="F16" i="11"/>
  <c r="F15" i="11"/>
  <c r="F14" i="11"/>
  <c r="F13" i="11"/>
  <c r="D7" i="11"/>
  <c r="D5" i="11"/>
  <c r="I299" i="4" l="1"/>
  <c r="H299" i="4"/>
  <c r="F35" i="11"/>
  <c r="D4" i="11" s="1"/>
  <c r="D8" i="11" s="1"/>
  <c r="H89" i="6"/>
  <c r="I89" i="6" s="1"/>
  <c r="H90" i="6"/>
  <c r="I90" i="6" s="1"/>
  <c r="H91" i="6"/>
  <c r="I91" i="6" s="1"/>
  <c r="H92" i="6"/>
  <c r="I92" i="6" s="1"/>
  <c r="H93" i="6"/>
  <c r="I93" i="6" s="1"/>
  <c r="H94" i="6"/>
  <c r="I94" i="6" s="1"/>
  <c r="H95" i="6"/>
  <c r="I95" i="6" s="1"/>
  <c r="H96" i="6"/>
  <c r="I96" i="6" s="1"/>
  <c r="H97" i="6"/>
  <c r="I97" i="6" s="1"/>
  <c r="H98" i="6"/>
  <c r="I98" i="6" s="1"/>
  <c r="H99" i="6"/>
  <c r="I99" i="6" s="1"/>
  <c r="H100" i="6"/>
  <c r="I100" i="6" s="1"/>
  <c r="H101" i="6"/>
  <c r="I101" i="6" s="1"/>
  <c r="H102" i="6"/>
  <c r="I102" i="6" s="1"/>
  <c r="H103" i="6"/>
  <c r="I103" i="6" s="1"/>
  <c r="H104" i="6"/>
  <c r="I104" i="6" s="1"/>
  <c r="H105" i="6"/>
  <c r="I105" i="6" s="1"/>
  <c r="H107" i="6"/>
  <c r="I107" i="6" s="1"/>
  <c r="H108" i="6"/>
  <c r="I108" i="6" s="1"/>
  <c r="H109" i="6"/>
  <c r="I109" i="6" s="1"/>
  <c r="H110" i="6"/>
  <c r="I110" i="6" s="1"/>
  <c r="H111" i="6"/>
  <c r="I111" i="6" s="1"/>
  <c r="H112" i="6"/>
  <c r="I112" i="6" s="1"/>
  <c r="H113" i="6"/>
  <c r="I113" i="6" s="1"/>
  <c r="H114" i="6"/>
  <c r="I114" i="6" s="1"/>
  <c r="H115" i="6"/>
  <c r="I115" i="6" s="1"/>
  <c r="H116" i="6"/>
  <c r="I116" i="6" s="1"/>
  <c r="H117" i="6"/>
  <c r="I117" i="6" s="1"/>
  <c r="H118" i="6"/>
  <c r="I118" i="6" s="1"/>
  <c r="H119" i="6"/>
  <c r="I119" i="6" s="1"/>
  <c r="H120" i="6"/>
  <c r="I120" i="6" s="1"/>
  <c r="H121" i="6"/>
  <c r="I121" i="6" s="1"/>
  <c r="H122" i="6"/>
  <c r="I122" i="6" s="1"/>
  <c r="H123" i="6"/>
  <c r="I123" i="6" s="1"/>
  <c r="H124" i="6"/>
  <c r="I124" i="6" s="1"/>
  <c r="H125" i="6"/>
  <c r="I125" i="6" s="1"/>
  <c r="H126" i="6"/>
  <c r="I126" i="6" s="1"/>
  <c r="H127" i="6"/>
  <c r="I127" i="6" s="1"/>
  <c r="H128" i="6"/>
  <c r="I128" i="6" s="1"/>
  <c r="H88" i="6"/>
  <c r="I88" i="6" s="1"/>
  <c r="H181" i="9"/>
  <c r="K181" i="9" s="1"/>
  <c r="L181" i="9" s="1"/>
  <c r="H182" i="9"/>
  <c r="K182" i="9" s="1"/>
  <c r="L182" i="9" s="1"/>
  <c r="H183" i="9"/>
  <c r="K183" i="9" s="1"/>
  <c r="L183" i="9" s="1"/>
  <c r="H184" i="9"/>
  <c r="K184" i="9" s="1"/>
  <c r="L184" i="9" s="1"/>
  <c r="H185" i="9"/>
  <c r="K185" i="9" s="1"/>
  <c r="L185" i="9" s="1"/>
  <c r="H186" i="9"/>
  <c r="K186" i="9" s="1"/>
  <c r="L186" i="9" s="1"/>
  <c r="H187" i="9"/>
  <c r="K187" i="9" s="1"/>
  <c r="L187" i="9" s="1"/>
  <c r="H188" i="9"/>
  <c r="K188" i="9" s="1"/>
  <c r="L188" i="9" s="1"/>
  <c r="H189" i="9"/>
  <c r="K189" i="9" s="1"/>
  <c r="L189" i="9" s="1"/>
  <c r="H190" i="9"/>
  <c r="K190" i="9" s="1"/>
  <c r="L190" i="9" s="1"/>
  <c r="H191" i="9"/>
  <c r="K191" i="9" s="1"/>
  <c r="L191" i="9" s="1"/>
  <c r="H192" i="9"/>
  <c r="K192" i="9" s="1"/>
  <c r="L192" i="9" s="1"/>
  <c r="H193" i="9"/>
  <c r="K193" i="9" s="1"/>
  <c r="L193" i="9" s="1"/>
  <c r="H194" i="9"/>
  <c r="K194" i="9" s="1"/>
  <c r="L194" i="9" s="1"/>
  <c r="H195" i="9"/>
  <c r="K195" i="9" s="1"/>
  <c r="L195" i="9" s="1"/>
  <c r="H196" i="9"/>
  <c r="K196" i="9" s="1"/>
  <c r="L196" i="9" s="1"/>
  <c r="H197" i="9"/>
  <c r="K197" i="9" s="1"/>
  <c r="L197" i="9" s="1"/>
  <c r="H198" i="9"/>
  <c r="K198" i="9" s="1"/>
  <c r="L198" i="9" s="1"/>
  <c r="H199" i="9"/>
  <c r="K199" i="9" s="1"/>
  <c r="L199" i="9" s="1"/>
  <c r="H200" i="9"/>
  <c r="K200" i="9" s="1"/>
  <c r="L200" i="9" s="1"/>
  <c r="H201" i="9"/>
  <c r="K201" i="9" s="1"/>
  <c r="L201" i="9" s="1"/>
  <c r="H202" i="9"/>
  <c r="K202" i="9" s="1"/>
  <c r="L202" i="9" s="1"/>
  <c r="H203" i="9"/>
  <c r="K203" i="9" s="1"/>
  <c r="L203" i="9" s="1"/>
  <c r="H204" i="9"/>
  <c r="K204" i="9" s="1"/>
  <c r="L204" i="9" s="1"/>
  <c r="H205" i="9"/>
  <c r="K205" i="9" s="1"/>
  <c r="L205" i="9" s="1"/>
  <c r="H206" i="9"/>
  <c r="K206" i="9" s="1"/>
  <c r="L206" i="9" s="1"/>
  <c r="H207" i="9"/>
  <c r="K207" i="9" s="1"/>
  <c r="L207" i="9" s="1"/>
  <c r="H208" i="9"/>
  <c r="K208" i="9" s="1"/>
  <c r="L208" i="9" s="1"/>
  <c r="H209" i="9"/>
  <c r="K209" i="9" s="1"/>
  <c r="L209" i="9" s="1"/>
  <c r="H210" i="9"/>
  <c r="K210" i="9" s="1"/>
  <c r="L210" i="9" s="1"/>
  <c r="H211" i="9"/>
  <c r="K211" i="9" s="1"/>
  <c r="L211" i="9" s="1"/>
  <c r="H212" i="9"/>
  <c r="K212" i="9" s="1"/>
  <c r="L212" i="9" s="1"/>
  <c r="H213" i="9"/>
  <c r="K213" i="9" s="1"/>
  <c r="L213" i="9" s="1"/>
  <c r="H214" i="9"/>
  <c r="K214" i="9" s="1"/>
  <c r="L214" i="9" s="1"/>
  <c r="H215" i="9"/>
  <c r="K215" i="9" s="1"/>
  <c r="L215" i="9" s="1"/>
  <c r="H216" i="9"/>
  <c r="K216" i="9" s="1"/>
  <c r="L216" i="9" s="1"/>
  <c r="H217" i="9"/>
  <c r="K217" i="9" s="1"/>
  <c r="L217" i="9" s="1"/>
  <c r="H218" i="9"/>
  <c r="K218" i="9" s="1"/>
  <c r="L218" i="9" s="1"/>
  <c r="H219" i="9"/>
  <c r="K219" i="9" s="1"/>
  <c r="L219" i="9" s="1"/>
  <c r="H220" i="9"/>
  <c r="K220" i="9" s="1"/>
  <c r="L220" i="9" s="1"/>
  <c r="H221" i="9"/>
  <c r="K221" i="9" s="1"/>
  <c r="L221" i="9" s="1"/>
  <c r="H222" i="9"/>
  <c r="K222" i="9" s="1"/>
  <c r="L222" i="9" s="1"/>
  <c r="H223" i="9"/>
  <c r="K223" i="9" s="1"/>
  <c r="L223" i="9" s="1"/>
  <c r="H224" i="9"/>
  <c r="K224" i="9" s="1"/>
  <c r="L224" i="9" s="1"/>
  <c r="H225" i="9"/>
  <c r="K225" i="9" s="1"/>
  <c r="L225" i="9" s="1"/>
  <c r="H226" i="9"/>
  <c r="K226" i="9" s="1"/>
  <c r="L226" i="9" s="1"/>
  <c r="H227" i="9"/>
  <c r="K227" i="9" s="1"/>
  <c r="L227" i="9" s="1"/>
  <c r="H228" i="9"/>
  <c r="K228" i="9" s="1"/>
  <c r="L228" i="9" s="1"/>
  <c r="H229" i="9"/>
  <c r="K229" i="9" s="1"/>
  <c r="L229" i="9" s="1"/>
  <c r="H230" i="9"/>
  <c r="K230" i="9" s="1"/>
  <c r="L230" i="9" s="1"/>
  <c r="H231" i="9"/>
  <c r="K231" i="9" s="1"/>
  <c r="L231" i="9" s="1"/>
  <c r="H232" i="9"/>
  <c r="K232" i="9" s="1"/>
  <c r="L232" i="9" s="1"/>
  <c r="H233" i="9"/>
  <c r="K233" i="9" s="1"/>
  <c r="L233" i="9" s="1"/>
  <c r="H234" i="9"/>
  <c r="K234" i="9" s="1"/>
  <c r="L234" i="9" s="1"/>
  <c r="H235" i="9"/>
  <c r="K235" i="9" s="1"/>
  <c r="L235" i="9" s="1"/>
  <c r="H236" i="9"/>
  <c r="K236" i="9" s="1"/>
  <c r="L236" i="9" s="1"/>
  <c r="H237" i="9"/>
  <c r="K237" i="9" s="1"/>
  <c r="L237" i="9" s="1"/>
  <c r="H238" i="9"/>
  <c r="K238" i="9" s="1"/>
  <c r="L238" i="9" s="1"/>
  <c r="H239" i="9"/>
  <c r="K239" i="9" s="1"/>
  <c r="L239" i="9" s="1"/>
  <c r="H240" i="9"/>
  <c r="K240" i="9" s="1"/>
  <c r="L240" i="9" s="1"/>
  <c r="H241" i="9"/>
  <c r="K241" i="9" s="1"/>
  <c r="L241" i="9" s="1"/>
  <c r="H242" i="9"/>
  <c r="K242" i="9" s="1"/>
  <c r="L242" i="9" s="1"/>
  <c r="H243" i="9"/>
  <c r="K243" i="9" s="1"/>
  <c r="L243" i="9" s="1"/>
  <c r="H244" i="9"/>
  <c r="K244" i="9" s="1"/>
  <c r="L244" i="9" s="1"/>
  <c r="H245" i="9"/>
  <c r="K245" i="9" s="1"/>
  <c r="L245" i="9" s="1"/>
  <c r="H180" i="9"/>
  <c r="K180" i="9" s="1"/>
  <c r="L180" i="9" s="1"/>
  <c r="F10" i="5" l="1"/>
  <c r="F12" i="5" s="1"/>
  <c r="I180" i="9"/>
  <c r="I189" i="9"/>
  <c r="I187" i="9"/>
  <c r="I185" i="9"/>
  <c r="I183" i="9"/>
  <c r="I181" i="9"/>
  <c r="I188" i="9"/>
  <c r="I186" i="9"/>
  <c r="I184" i="9"/>
  <c r="I182" i="9"/>
  <c r="I245" i="9"/>
  <c r="I243" i="9"/>
  <c r="I241" i="9"/>
  <c r="I239" i="9"/>
  <c r="I237" i="9"/>
  <c r="I235" i="9"/>
  <c r="I233" i="9"/>
  <c r="I231" i="9"/>
  <c r="I229" i="9"/>
  <c r="I227" i="9"/>
  <c r="I225" i="9"/>
  <c r="I223" i="9"/>
  <c r="I221" i="9"/>
  <c r="I219" i="9"/>
  <c r="I217" i="9"/>
  <c r="I215" i="9"/>
  <c r="I213" i="9"/>
  <c r="I211" i="9"/>
  <c r="I209" i="9"/>
  <c r="I207" i="9"/>
  <c r="I205" i="9"/>
  <c r="I203" i="9"/>
  <c r="I201" i="9"/>
  <c r="I199" i="9"/>
  <c r="I197" i="9"/>
  <c r="I195" i="9"/>
  <c r="I193" i="9"/>
  <c r="I191" i="9"/>
  <c r="I244" i="9"/>
  <c r="I242" i="9"/>
  <c r="I240" i="9"/>
  <c r="I238" i="9"/>
  <c r="I236" i="9"/>
  <c r="I234" i="9"/>
  <c r="I232" i="9"/>
  <c r="I230" i="9"/>
  <c r="I228" i="9"/>
  <c r="I226" i="9"/>
  <c r="I224" i="9"/>
  <c r="I222" i="9"/>
  <c r="I220" i="9"/>
  <c r="I218" i="9"/>
  <c r="I216" i="9"/>
  <c r="I214" i="9"/>
  <c r="I212" i="9"/>
  <c r="I210" i="9"/>
  <c r="I208" i="9"/>
  <c r="I206" i="9"/>
  <c r="I204" i="9"/>
  <c r="I202" i="9"/>
  <c r="I200" i="9"/>
  <c r="I198" i="9"/>
  <c r="I196" i="9"/>
  <c r="I194" i="9"/>
  <c r="I192" i="9"/>
  <c r="I190" i="9"/>
  <c r="C10" i="5" l="1"/>
  <c r="F106" i="6"/>
  <c r="H106" i="6" s="1"/>
  <c r="I106" i="6" s="1"/>
  <c r="F129" i="6" l="1"/>
  <c r="C11" i="5" s="1"/>
  <c r="E174" i="9"/>
  <c r="E246" i="9"/>
  <c r="K47" i="6"/>
  <c r="K83" i="6" s="1"/>
  <c r="H129" i="6" l="1"/>
  <c r="I129" i="6" s="1"/>
  <c r="H246" i="9"/>
  <c r="K246" i="9" s="1"/>
  <c r="J54" i="6"/>
  <c r="J55" i="6"/>
  <c r="J56" i="6"/>
  <c r="J57" i="6"/>
  <c r="J58" i="6"/>
  <c r="J59" i="6"/>
  <c r="J60" i="6"/>
  <c r="J61" i="6"/>
  <c r="J62" i="6"/>
  <c r="J63" i="6"/>
  <c r="J64" i="6"/>
  <c r="J65" i="6"/>
  <c r="J53" i="6"/>
  <c r="J51" i="6"/>
  <c r="J52" i="6"/>
  <c r="J50" i="6"/>
  <c r="J49" i="6"/>
  <c r="J48" i="6"/>
  <c r="H174" i="9"/>
  <c r="C8" i="5"/>
  <c r="I83" i="6"/>
  <c r="C12" i="5" l="1"/>
  <c r="J83" i="6"/>
  <c r="F47" i="6" l="1"/>
  <c r="F8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Fernanda Ferrari</author>
  </authors>
  <commentList>
    <comment ref="M24" authorId="0" shapeId="0" xr:uid="{C6CD50A3-7BCD-407D-8CCD-777D28DFC664}">
      <text>
        <r>
          <rPr>
            <b/>
            <sz val="9"/>
            <color indexed="81"/>
            <rFont val="Segoe UI"/>
            <family val="2"/>
          </rPr>
          <t xml:space="preserve">atualizado até 30/04/2025
</t>
        </r>
      </text>
    </comment>
  </commentList>
</comments>
</file>

<file path=xl/sharedStrings.xml><?xml version="1.0" encoding="utf-8"?>
<sst xmlns="http://schemas.openxmlformats.org/spreadsheetml/2006/main" count="3823" uniqueCount="854">
  <si>
    <t xml:space="preserve">PROCESSO SUPERMECADO RIACHUELO </t>
  </si>
  <si>
    <t>FLS</t>
  </si>
  <si>
    <t>DATA</t>
  </si>
  <si>
    <t>BANCO</t>
  </si>
  <si>
    <t>CONTA</t>
  </si>
  <si>
    <t>VALOR R$</t>
  </si>
  <si>
    <t xml:space="preserve">OBSERVAÇÃO </t>
  </si>
  <si>
    <t>"custas processuais"</t>
  </si>
  <si>
    <t>ENDEREÇO</t>
  </si>
  <si>
    <t>Rua Jeronimo Coelho n.° 40</t>
  </si>
  <si>
    <t>OBSERVAÇÃO</t>
  </si>
  <si>
    <t>Rua Ministro Calógeras n.° 1440</t>
  </si>
  <si>
    <t>Rua Dr. João Colin n.° 1495</t>
  </si>
  <si>
    <t>Terreno Rural - R3-31.800 25/08/88</t>
  </si>
  <si>
    <t>Laudo de Avaliação Poder Judiciario</t>
  </si>
  <si>
    <t>Terreno Rural - R1-8.363 29/09/87</t>
  </si>
  <si>
    <t>Terreno Rural - R1-8.361 29/09/87</t>
  </si>
  <si>
    <t>Laudo de Avaliação - 474 Imóveis</t>
  </si>
  <si>
    <t>besc</t>
  </si>
  <si>
    <t>3116944-9</t>
  </si>
  <si>
    <t>Cardeneta de Poupança em favor do Riachuelo</t>
  </si>
  <si>
    <t>Levantamento do valor</t>
  </si>
  <si>
    <t xml:space="preserve">Cardeneta de Poupança em favor de Vilmar Gorges </t>
  </si>
  <si>
    <t>Cardeneta de Poupança em favor de  1° Vara cível</t>
  </si>
  <si>
    <t>Imovel no nome do Sr. Roberto Bencz</t>
  </si>
  <si>
    <t>Terreno em Schroeder - R1-8.363</t>
  </si>
  <si>
    <t>Contrato de Compra e Venda - 30/11/87</t>
  </si>
  <si>
    <t>Av. Getulio Vargas  esquina com a Rua Felipep Schmidt e Rua Felipe Frenzel - Jaragua do sul - matricula 999</t>
  </si>
  <si>
    <t>IMOVEIS/ MÓVEIS</t>
  </si>
  <si>
    <t xml:space="preserve">Veiculo Verona glx 1.8 </t>
  </si>
  <si>
    <t xml:space="preserve">Documento do carro </t>
  </si>
  <si>
    <t>3428555-5</t>
  </si>
  <si>
    <t>Cardeneta de Poupança em favor da Massa Falida</t>
  </si>
  <si>
    <t>Cardeneta de Poupança em favor da Massa Falida - Valor recolhido do caixa da panificadora</t>
  </si>
  <si>
    <t>Contrato de Locação  com OGB</t>
  </si>
  <si>
    <t>banco do brasil</t>
  </si>
  <si>
    <t xml:space="preserve">Extrato </t>
  </si>
  <si>
    <t>Saque</t>
  </si>
  <si>
    <t xml:space="preserve">saque + juros </t>
  </si>
  <si>
    <t>Cardeneta de Poupança em favor 1° Civel - arrematação de bens</t>
  </si>
  <si>
    <t>3616433-0</t>
  </si>
  <si>
    <t>Rua Tenente Antonio João 2352</t>
  </si>
  <si>
    <t xml:space="preserve">AÇÕES EM ANDAMENTO </t>
  </si>
  <si>
    <t>0900582-61.2013.8.24.0038</t>
  </si>
  <si>
    <t>PROCESSO N.°</t>
  </si>
  <si>
    <t>TIPO</t>
  </si>
  <si>
    <t>AUTOR</t>
  </si>
  <si>
    <t xml:space="preserve">execução fiscal </t>
  </si>
  <si>
    <t>Fazenda publica Joinville</t>
  </si>
  <si>
    <t>003291-90.1996.8.24.0038</t>
  </si>
  <si>
    <t>Cardeneta de Poupança em favor 1° Civel - saldo de publicação de avisos</t>
  </si>
  <si>
    <t>3616422-4</t>
  </si>
  <si>
    <t>saque</t>
  </si>
  <si>
    <t>3333150-2</t>
  </si>
  <si>
    <t>3333149-9</t>
  </si>
  <si>
    <t>RELAÇÃO DE CREDORES</t>
  </si>
  <si>
    <t>TOTAL</t>
  </si>
  <si>
    <t xml:space="preserve">SUPERMERCADO RIACHUELO </t>
  </si>
  <si>
    <t>CNPJ 84.684.380/0001-10</t>
  </si>
  <si>
    <t>Quadro 1 - RESUMO DE CRÉDITOS HABILITADOS POR CLASSE DE CREDORES</t>
  </si>
  <si>
    <t>IPTU - Ajuizada</t>
  </si>
  <si>
    <t xml:space="preserve">IPTU  - Dívida Ativa </t>
  </si>
  <si>
    <t xml:space="preserve">IPTU </t>
  </si>
  <si>
    <t xml:space="preserve"> DATA DA ATUALIZAÇÃO </t>
  </si>
  <si>
    <t xml:space="preserve">TOTAL </t>
  </si>
  <si>
    <t xml:space="preserve"> Dívida Ativa </t>
  </si>
  <si>
    <t>INSCRIÇÃO</t>
  </si>
  <si>
    <t>91 2 94 000529-90</t>
  </si>
  <si>
    <t>91 5 94 000603-67</t>
  </si>
  <si>
    <t>91 5 94 000987-63</t>
  </si>
  <si>
    <t>91 6 93 000561-28</t>
  </si>
  <si>
    <t>91 6 94 000662-06</t>
  </si>
  <si>
    <t>FLS. 2129 A 2149</t>
  </si>
  <si>
    <t>91 6 97 030362-22</t>
  </si>
  <si>
    <t>91 6 97 030356-84</t>
  </si>
  <si>
    <t>91 6 97 030378-90</t>
  </si>
  <si>
    <t>91 6 97 030399-14</t>
  </si>
  <si>
    <t>91 6 97 030400-92</t>
  </si>
  <si>
    <t>91 6 97 030401-73</t>
  </si>
  <si>
    <t>91 6 97 030402-54</t>
  </si>
  <si>
    <t>91 6 97 030403-35</t>
  </si>
  <si>
    <t>91 6 97 030404-16</t>
  </si>
  <si>
    <t>91 6 97 030405-05</t>
  </si>
  <si>
    <t>91 6 97 030406-88</t>
  </si>
  <si>
    <t>91 6 97 030407-69</t>
  </si>
  <si>
    <t>91 6 97 030408-40</t>
  </si>
  <si>
    <t>91 6 97 030409-20</t>
  </si>
  <si>
    <t>91 6 97 030410-64</t>
  </si>
  <si>
    <t>91 6 97 030411-45</t>
  </si>
  <si>
    <t>91 6 97 030412-26</t>
  </si>
  <si>
    <t>91 6 97 030413-07</t>
  </si>
  <si>
    <t>91 6 97 030414-98</t>
  </si>
  <si>
    <t>91 6 97 030415-79</t>
  </si>
  <si>
    <t>91 6 94 000269-02</t>
  </si>
  <si>
    <t xml:space="preserve">REFERÊNCIA </t>
  </si>
  <si>
    <t>MULTA</t>
  </si>
  <si>
    <t>FLS. 2129 A 2150</t>
  </si>
  <si>
    <t>FLS. 2129 A 2151</t>
  </si>
  <si>
    <t>FLS. 2129 A 2152</t>
  </si>
  <si>
    <t>FLS. 2129 A 2153</t>
  </si>
  <si>
    <t>FLS. 2129 A 2154</t>
  </si>
  <si>
    <t>FLS. 2129 A 2155</t>
  </si>
  <si>
    <t>FLS. 2129 A 2156</t>
  </si>
  <si>
    <t>FLS. 2129 A 2157</t>
  </si>
  <si>
    <t>FLS. 2129 A 2158</t>
  </si>
  <si>
    <t>FLS. 2129 A 2159</t>
  </si>
  <si>
    <t>FLS. 2129 A 2160</t>
  </si>
  <si>
    <t>FLS. 2129 A 2161</t>
  </si>
  <si>
    <t>FLS. 2129 A 2162</t>
  </si>
  <si>
    <t>FLS. 2129 A 2163</t>
  </si>
  <si>
    <t>FLS. 2129 A 2164</t>
  </si>
  <si>
    <t>FLS. 2129 A 2165</t>
  </si>
  <si>
    <t>FLS. 2129 A 2166</t>
  </si>
  <si>
    <t>FLS. 2129 A 2167</t>
  </si>
  <si>
    <t>FLS. 2129 A 2168</t>
  </si>
  <si>
    <t>FLS. 2129 A 2169</t>
  </si>
  <si>
    <t>FLS. 2129 A 2170</t>
  </si>
  <si>
    <t>FLS. 2129 A 2171</t>
  </si>
  <si>
    <t>FLS. 2129 A 2172</t>
  </si>
  <si>
    <t>FLS. 2129 A 2173</t>
  </si>
  <si>
    <t>FLS. 2129 A 2174</t>
  </si>
  <si>
    <t>FLS. 2129 A 2175</t>
  </si>
  <si>
    <t xml:space="preserve">NÃO ENCONTRADO VALORES DO BANCO BRADESCO </t>
  </si>
  <si>
    <t>NO BANCO ITAU ENCONTROU 32,84 BACENJUD FLS 2066</t>
  </si>
  <si>
    <t>ESCRITURA FLS. 2114 A 2118</t>
  </si>
  <si>
    <t>Terreno condominio marques de olinda</t>
  </si>
  <si>
    <t xml:space="preserve">não achei alienação de 1 lote (lote 2 quadra A) e também parte renanescente do imovel </t>
  </si>
  <si>
    <t>ESCRITURA FLS 2089 A 2096</t>
  </si>
  <si>
    <t>ESCRITURA FLS 2098 A 2099</t>
  </si>
  <si>
    <t>Rua Aube - 31.403 1° Circunscrição</t>
  </si>
  <si>
    <t>ESCRITURA FLA 2101 A 2102</t>
  </si>
  <si>
    <t>VALOR EM CR$</t>
  </si>
  <si>
    <t>VALOR CORRIGIDO EM R$</t>
  </si>
  <si>
    <t>CLASSE DE CREDORES</t>
  </si>
  <si>
    <t>VALOR - R$</t>
  </si>
  <si>
    <t>Ausência de Recolhimento - FGTS</t>
  </si>
  <si>
    <t>Tributário</t>
  </si>
  <si>
    <t>Quirografários</t>
  </si>
  <si>
    <t>Multas</t>
  </si>
  <si>
    <t>Anexo 03</t>
  </si>
  <si>
    <t xml:space="preserve">Bradesco S/A </t>
  </si>
  <si>
    <t>Frigorifico Cemim LTDA</t>
  </si>
  <si>
    <t>Sadia Concordia S/A</t>
  </si>
  <si>
    <t>Arisco Prod. Alimentícios LTDA</t>
  </si>
  <si>
    <t>Distri. de Bebidas Joinville LTDA</t>
  </si>
  <si>
    <t>Lacesa S/S Ind. de Alimentos</t>
  </si>
  <si>
    <t>CIA Mercantil e Ins. Parizotto</t>
  </si>
  <si>
    <t>Emilio Romani S/A Ind. Com.</t>
  </si>
  <si>
    <t>Gloria Distr. de Produtos Alimentos LTDA</t>
  </si>
  <si>
    <t>Pamal Com. de Alimentos LTDA</t>
  </si>
  <si>
    <t>Gumz irmãos S/A Ind. Com. Agricultura</t>
  </si>
  <si>
    <t>Ind. Com. de Laticínios Chapeco LTDA.</t>
  </si>
  <si>
    <t>Distr. Muller Com. e Represe. LTDA</t>
  </si>
  <si>
    <t>Coop Cental Catarinense de Laticionios</t>
  </si>
  <si>
    <t>Trans. C. de F. e Verduras Bonacolsi Ltda</t>
  </si>
  <si>
    <t>Pepsico e Cia</t>
  </si>
  <si>
    <t>Cravil-Coop Reg. Agrop. Alto Vale Itajai</t>
  </si>
  <si>
    <t xml:space="preserve">S/A Moinho Santista Ind. Gerais </t>
  </si>
  <si>
    <t>Catarinense de Refrigerantes LTDA</t>
  </si>
  <si>
    <t>Frangos Camboriú Com. e Abate LTDA</t>
  </si>
  <si>
    <t>Laticinios Tirol LTDA</t>
  </si>
  <si>
    <t>Com. de Frutas e Verduras JIN LTDA</t>
  </si>
  <si>
    <t>Ind. Produtos Alimenticios Cory LTDA</t>
  </si>
  <si>
    <t>Milton Jose Borguetti e Cia LTDA</t>
  </si>
  <si>
    <t>Sedigo Lesniovski e Cia LTDA.</t>
  </si>
  <si>
    <t>Laticinio Globo LTDA.</t>
  </si>
  <si>
    <t>Laticinios Lacador LTDA.</t>
  </si>
  <si>
    <t>Chocolates Garoto S/A</t>
  </si>
  <si>
    <t>Coop Central Laticinios do Parana LTDA.</t>
  </si>
  <si>
    <t>Casa Do Panificador Ind. e Com. LTDA</t>
  </si>
  <si>
    <t>Buschle Irmaos LTDA</t>
  </si>
  <si>
    <t>Refinadora Catarinense S/A</t>
  </si>
  <si>
    <t>Tip Top Alimentos LTDA.</t>
  </si>
  <si>
    <t>Johnson e Johnson S/A</t>
  </si>
  <si>
    <t>Ind. Chocolates Lacta S/A</t>
  </si>
  <si>
    <t>Nestle Ind. Com. LTDA.</t>
  </si>
  <si>
    <t xml:space="preserve">Comercial Imporradora Reis LTDA. </t>
  </si>
  <si>
    <t xml:space="preserve">Carlos Stern e Cia LTDA. </t>
  </si>
  <si>
    <t xml:space="preserve">Pelforte Com. e Ind. de Papeis LTDA. </t>
  </si>
  <si>
    <t xml:space="preserve">Sadia Concordia S/A Ind. e Com. </t>
  </si>
  <si>
    <t>Albercht Carnes Nobres LTDA.</t>
  </si>
  <si>
    <t xml:space="preserve">Incopan Ind. Com. e Panificação LTDA. </t>
  </si>
  <si>
    <t>Café Damasco S/A</t>
  </si>
  <si>
    <t xml:space="preserve">São Conrado-Distr. Prod. Alimenticios LTDA. </t>
  </si>
  <si>
    <t xml:space="preserve">Edmag Com. e Repres. LTDA. </t>
  </si>
  <si>
    <t xml:space="preserve">TV Barriga Verde LTDA </t>
  </si>
  <si>
    <t>Impulso Equipamentos e Serviços LTDA</t>
  </si>
  <si>
    <t>Dorval Friedrich e Filho LTDA.</t>
  </si>
  <si>
    <t xml:space="preserve">Frigorifico Gumz S/A </t>
  </si>
  <si>
    <t>Yakult S/A Ind. e Com.</t>
  </si>
  <si>
    <t>Plasticom Plasticos Ind. e Com. LTDA.</t>
  </si>
  <si>
    <t xml:space="preserve">Multibom Distr. de Prod. Aliment. LTDA. </t>
  </si>
  <si>
    <t>Orniex S/A</t>
  </si>
  <si>
    <t xml:space="preserve">Incregel Ind. Com. Repr. Gerais LTDA. </t>
  </si>
  <si>
    <t>Agroeliane S/A Ind. de Alimentos</t>
  </si>
  <si>
    <t>Dipam Distr. de Produtos  A. Monteiro LTDA.</t>
  </si>
  <si>
    <t>LPC Ind. Alimenticias S/A</t>
  </si>
  <si>
    <t xml:space="preserve">Alimenticios Sasse LTDA. </t>
  </si>
  <si>
    <t xml:space="preserve">Prod. Aliment. Fleischmann e Royal LTDA. </t>
  </si>
  <si>
    <t>Pamplona Frigorifico Riosulense S/A</t>
  </si>
  <si>
    <t>Ceval Agrop. Industrial S/A</t>
  </si>
  <si>
    <t xml:space="preserve">Ind. de Alimentos Massita LTDA. </t>
  </si>
  <si>
    <t xml:space="preserve">Embafest Com. de Artigos P/ Festas LTDA. </t>
  </si>
  <si>
    <t>Baumhardt Irmãos S/A</t>
  </si>
  <si>
    <t>Weegw Ind. Alimenticia LTDA.</t>
  </si>
  <si>
    <t xml:space="preserve">Cia Catarinense de Radio e Televisão </t>
  </si>
  <si>
    <t xml:space="preserve">Sonho Infantil Com. Repr. Art. Festas LTDA. </t>
  </si>
  <si>
    <t xml:space="preserve">Kaminski Distr. Universal LTDA. </t>
  </si>
  <si>
    <t xml:space="preserve">La Violeterea Ind. Com. Generos Alim. LTDA. </t>
  </si>
  <si>
    <t xml:space="preserve">Cipla Ind. Produtos do Lar LTDA. </t>
  </si>
  <si>
    <t xml:space="preserve">KC do Brasil LTDA. </t>
  </si>
  <si>
    <t xml:space="preserve">Bem Forte Distr. de Prod. Ind. LTDA. </t>
  </si>
  <si>
    <t xml:space="preserve">Com. de Frutas Verd. Nipo Brasileira LTDA. </t>
  </si>
  <si>
    <t>Acacio Jorge Bruno Neves</t>
  </si>
  <si>
    <t>Franzner Alimentos LTDA.</t>
  </si>
  <si>
    <t xml:space="preserve">Heublein do Brasil Com. e Ind. LTDA. </t>
  </si>
  <si>
    <t xml:space="preserve">Com. de Pescados Dejamar LTDA. </t>
  </si>
  <si>
    <t xml:space="preserve">Colgate Palmolive LTDA. </t>
  </si>
  <si>
    <t xml:space="preserve">Romanha Ind. de Alimentos LTDA. </t>
  </si>
  <si>
    <t>Petybon S/A</t>
  </si>
  <si>
    <t>Olvebra Ind. S/A</t>
  </si>
  <si>
    <t>Garpe Com. E Repr. LTDA.</t>
  </si>
  <si>
    <t xml:space="preserve">Luminar Com. Ind. LTDA. </t>
  </si>
  <si>
    <t xml:space="preserve">Ind. Com. Agricola Mathies LTDA. </t>
  </si>
  <si>
    <t xml:space="preserve">Fritex Ind. Alimenticias Lisboense LTDA. </t>
  </si>
  <si>
    <t xml:space="preserve">Norte Alimentos LTDA. </t>
  </si>
  <si>
    <t xml:space="preserve">Niposul Com. e Repr. De Prod. Alim. LTDA. </t>
  </si>
  <si>
    <t xml:space="preserve">Dovale Repr. Comerciais LTDA. </t>
  </si>
  <si>
    <t xml:space="preserve">Ind. de Embalagens Lages LTDA. </t>
  </si>
  <si>
    <t xml:space="preserve">Digebel Distr. Geral de Bebidas LTDA. </t>
  </si>
  <si>
    <t xml:space="preserve">Switf Armour S/A Ind e Com. </t>
  </si>
  <si>
    <t xml:space="preserve">Seagran do Brasil Ind. Com. LTDA. </t>
  </si>
  <si>
    <t xml:space="preserve">Panex S/A Ind. Com. </t>
  </si>
  <si>
    <t xml:space="preserve">Tramontina S/A Cutelaria </t>
  </si>
  <si>
    <t>Valci Rizzo</t>
  </si>
  <si>
    <t>Atlantis Brasil Com. e Ind. LTDA.</t>
  </si>
  <si>
    <t>Com. e Ind. Germano Stein S/A</t>
  </si>
  <si>
    <t xml:space="preserve">Lunardon e Cia LTDA. </t>
  </si>
  <si>
    <t xml:space="preserve">Campeiro Prod. Alim. I. E C. LTDA. </t>
  </si>
  <si>
    <t>Isabela S/A Prod. Alimentícios</t>
  </si>
  <si>
    <t xml:space="preserve">Cia Fiat Lux Fosf. de Seg. </t>
  </si>
  <si>
    <t xml:space="preserve">Prodalin Com. Repr. LTDA. </t>
  </si>
  <si>
    <t>U.G. Ind. e Com. de Embal. LTDA.</t>
  </si>
  <si>
    <t xml:space="preserve">Extrafruta Ind. de Aliment. LTDA. </t>
  </si>
  <si>
    <t xml:space="preserve">Radio Cultura de Joinville LTDA. </t>
  </si>
  <si>
    <t xml:space="preserve">Ind. de Bebidas Cardoso LTDA. </t>
  </si>
  <si>
    <t>Romulo Pereira Martins</t>
  </si>
  <si>
    <t xml:space="preserve">Manoela Ind. de Massas LTDA. </t>
  </si>
  <si>
    <t xml:space="preserve">Climapar Climat. Frutas LTDA. </t>
  </si>
  <si>
    <t xml:space="preserve">Com. e Repr. Nelson LTDA. </t>
  </si>
  <si>
    <t xml:space="preserve">Ailiram S/A Produtos Alimentícios </t>
  </si>
  <si>
    <t xml:space="preserve">Plásticos Suzuki LTDA. </t>
  </si>
  <si>
    <t xml:space="preserve">Cerealista Urbano LTDA. </t>
  </si>
  <si>
    <t xml:space="preserve">Hfur Com. e Repres. LTDA. </t>
  </si>
  <si>
    <t xml:space="preserve">Jasicafe Ind. Com. Café LTDA. </t>
  </si>
  <si>
    <t xml:space="preserve">Beralv Clorosul S/A Ind. Com. </t>
  </si>
  <si>
    <t xml:space="preserve">MCI Informática LTDA. </t>
  </si>
  <si>
    <t xml:space="preserve">Prod. Alimentares Jr. LTDA. </t>
  </si>
  <si>
    <t xml:space="preserve">Johmar Com. Repr. LTDA. </t>
  </si>
  <si>
    <t>Ind. Aliment. Carlos Britto S/A</t>
  </si>
  <si>
    <t xml:space="preserve">Bretzke Ind. Com. de Prod. Alim. LTDA. </t>
  </si>
  <si>
    <t xml:space="preserve">Corning Brasil-Vidros Espec. LTDA. </t>
  </si>
  <si>
    <t xml:space="preserve">Melitta do Brasil Ind. Com. LTDA. </t>
  </si>
  <si>
    <t>União Fabril Exportadora S/A</t>
  </si>
  <si>
    <t>Com. e Import. Benjamim S/A</t>
  </si>
  <si>
    <t xml:space="preserve">Mark Alimentos LTDA. </t>
  </si>
  <si>
    <t xml:space="preserve">Coop. Agrícola Mista Juriti LTDA. </t>
  </si>
  <si>
    <t>Adolar Kasulke</t>
  </si>
  <si>
    <t>Iema Ind. Conservas</t>
  </si>
  <si>
    <t>Coroa S/A Ind. Alimentares</t>
  </si>
  <si>
    <t xml:space="preserve">Deycon Com. Repr. LTDA. </t>
  </si>
  <si>
    <t xml:space="preserve">Vontobel S/A Produtos Mu-Mu  </t>
  </si>
  <si>
    <t xml:space="preserve">Com. e Ind. Arthur Zindars LTDA. </t>
  </si>
  <si>
    <t>Plasvale Ind. Plast. do Vale Ltda.</t>
  </si>
  <si>
    <t xml:space="preserve">Cia. Ind. e Mercantil Paoletti </t>
  </si>
  <si>
    <t xml:space="preserve">Ind. Com. de Doces Carijos LTDA. </t>
  </si>
  <si>
    <t xml:space="preserve">Columbia Ind. Mat. de Limpeza LTDA. </t>
  </si>
  <si>
    <t xml:space="preserve">Amend. e Cia. LTDA. Com. e Repres. </t>
  </si>
  <si>
    <t>Tramontina Farroupilha S/A</t>
  </si>
  <si>
    <t xml:space="preserve">Moinho Carlos Guth LTDA. </t>
  </si>
  <si>
    <t xml:space="preserve">Refinações de Milho Brasil LTDA. </t>
  </si>
  <si>
    <t xml:space="preserve">Radio Colon LTDA. </t>
  </si>
  <si>
    <t xml:space="preserve">Effen Produtos Alimentícios LTDA. </t>
  </si>
  <si>
    <t xml:space="preserve">Freitag Import. e Export. LTDA. </t>
  </si>
  <si>
    <t xml:space="preserve">João Haupt e Cia LTDA. </t>
  </si>
  <si>
    <t>Jose Kienen</t>
  </si>
  <si>
    <t xml:space="preserve">Quaker Alimentos LTDA. </t>
  </si>
  <si>
    <t>Pedro Custodio dos Santos</t>
  </si>
  <si>
    <t>Belpar Distr. de Cosméticos LTDA.</t>
  </si>
  <si>
    <t>Gráfica Mapel LTDA.</t>
  </si>
  <si>
    <t>Lensana S/A</t>
  </si>
  <si>
    <t>Cricket da Amazônia S/A</t>
  </si>
  <si>
    <t>Restaurante Pizzaria Veneza LTDA.</t>
  </si>
  <si>
    <t>Dunga Produtos Alimentícios LTDA.</t>
  </si>
  <si>
    <t xml:space="preserve">Cia Wetzel Ind. </t>
  </si>
  <si>
    <t>ACG-Industria Alimentícia LTDA.</t>
  </si>
  <si>
    <t>Disk-Med Dist. de Medicamentos LTDA.</t>
  </si>
  <si>
    <t xml:space="preserve">A B Loss e Cia Ltda. </t>
  </si>
  <si>
    <t>Hortigranjeira Aguas Claras LTDA.</t>
  </si>
  <si>
    <t>York S/A Ind. Com.</t>
  </si>
  <si>
    <t>Hortigranjeira Bedin LTDA.</t>
  </si>
  <si>
    <t>Luiz Kienen Bebidas LTDA.</t>
  </si>
  <si>
    <t>Vemate Verdinha Ind. do Mate LTDA.</t>
  </si>
  <si>
    <t>Osati Representações Com. LTDA.</t>
  </si>
  <si>
    <t xml:space="preserve">Alceu Breda e Cia LTDA. </t>
  </si>
  <si>
    <t xml:space="preserve">Conde Com. e Imp. LTDA. </t>
  </si>
  <si>
    <t>Manoel F. da Costa S/A</t>
  </si>
  <si>
    <t>Engepasa Engenharia Pavimento S/A</t>
  </si>
  <si>
    <t>Copa Cia de Papeis</t>
  </si>
  <si>
    <t>Ind. Com. Polvilho Sevegnani LTDA.</t>
  </si>
  <si>
    <t>Pastificio Fio de Ouro LTDA.</t>
  </si>
  <si>
    <t>Multividro Ind. Com. S/A</t>
  </si>
  <si>
    <t>Espabra Generos Alimenticios LTDA.</t>
  </si>
  <si>
    <t>Moinhos Unidos do Brasil Mate S/A</t>
  </si>
  <si>
    <t xml:space="preserve">Cooper-Disc Dist. e Repres. LTDA. </t>
  </si>
  <si>
    <t>Metalurgica Backer Ind. Com. LTDA.</t>
  </si>
  <si>
    <t xml:space="preserve">Librizzi e Cia LTDA. </t>
  </si>
  <si>
    <t xml:space="preserve">Ind. Com. Bebidas dos Tropicos LTDA. </t>
  </si>
  <si>
    <t xml:space="preserve">Gessy Lever Alimentos LTDA. </t>
  </si>
  <si>
    <t>Dixie-Lakelka S/A</t>
  </si>
  <si>
    <t xml:space="preserve">Martini e Rossi LTDA. </t>
  </si>
  <si>
    <t>Metalgrafica Trivisan S/A</t>
  </si>
  <si>
    <t>Cia Ind. de Conservas Aliment. Cica</t>
  </si>
  <si>
    <t>Valdecir Dela Rosa</t>
  </si>
  <si>
    <t xml:space="preserve">Cena Central Atac. Sec. Molhd. LTDA. </t>
  </si>
  <si>
    <t>Pasbona-Cia Canoinhas de Papel</t>
  </si>
  <si>
    <t xml:space="preserve">Distr. Rb de Generos Aliment. LTDA. </t>
  </si>
  <si>
    <t>Jose Lindolfo dos Passos</t>
  </si>
  <si>
    <t xml:space="preserve">Nova Filozam Com. Imp. Exp. LTDA. </t>
  </si>
  <si>
    <t xml:space="preserve">Formularios LTDA. </t>
  </si>
  <si>
    <t xml:space="preserve">Com. de Bebidas Pagelkopd LTDA. </t>
  </si>
  <si>
    <t>Conservas Ritter S/A</t>
  </si>
  <si>
    <t xml:space="preserve">Reisol Prod. Alimenticios LTDA. </t>
  </si>
  <si>
    <t xml:space="preserve">Com. Frutas e Cereais Jurema LTDA. </t>
  </si>
  <si>
    <t xml:space="preserve">Mabispa Alimentos Ltda. </t>
  </si>
  <si>
    <t xml:space="preserve">Distr. Santa Catarina LTDA. </t>
  </si>
  <si>
    <t>Gonzalez e Cia LTDA.</t>
  </si>
  <si>
    <t>CVG CIA. Volta Grande de Papel</t>
  </si>
  <si>
    <t>Radio Difusora São Francisco LTDA.</t>
  </si>
  <si>
    <t>Visagis S/A Ind. Alimenticias</t>
  </si>
  <si>
    <t>Contaregis Eqptos de Controle S/A</t>
  </si>
  <si>
    <t>Besa Borracha Esponja S/A</t>
  </si>
  <si>
    <t xml:space="preserve">Rede Comunc. Perola Vale LTDA. </t>
  </si>
  <si>
    <t>Paz e Iazzetti Cia LTDA.</t>
  </si>
  <si>
    <t xml:space="preserve">Boa Safra Com. Frut. Verd. e Cere. </t>
  </si>
  <si>
    <t>Alim. Congelados Freezer Bom LTDA.</t>
  </si>
  <si>
    <t>Pratel De L. D. da Costa</t>
  </si>
  <si>
    <t>Jorgina Madrid Chaves</t>
  </si>
  <si>
    <t xml:space="preserve">Manoel P. Almeida S.A Ind e Com. </t>
  </si>
  <si>
    <t>Weg Penha Pescados S/A</t>
  </si>
  <si>
    <t>Distilaria Doble W. Exp. Imp. LTDA.</t>
  </si>
  <si>
    <t xml:space="preserve">Sococo S/A Ind. Alimenticias </t>
  </si>
  <si>
    <t>Ervin Zils</t>
  </si>
  <si>
    <t xml:space="preserve">Roberto Carlos Fernandes Cia LTDA. </t>
  </si>
  <si>
    <t xml:space="preserve">Metalurgica Caliano LTDA. </t>
  </si>
  <si>
    <t xml:space="preserve">Lukisa Distr. de Bebidas LTDA. </t>
  </si>
  <si>
    <t>Alfredo Bucheim S/A Ind. Com.</t>
  </si>
  <si>
    <t xml:space="preserve">Represent. Goedert Stanke LTDA. </t>
  </si>
  <si>
    <t xml:space="preserve">Irmaos Molon LTDA. </t>
  </si>
  <si>
    <t xml:space="preserve">Radio Brasil Novo LTDA. </t>
  </si>
  <si>
    <t xml:space="preserve">Totsu Com. de Frutas e Verduras LTDA. </t>
  </si>
  <si>
    <t xml:space="preserve">Agro Com. Novo Mundo LTDA. </t>
  </si>
  <si>
    <t>Incasa Ind. Com. Catarinense</t>
  </si>
  <si>
    <t xml:space="preserve">Distr. Sul de Bebidas LTDA. </t>
  </si>
  <si>
    <t xml:space="preserve">Irmaos Braziliano LTDA. </t>
  </si>
  <si>
    <t xml:space="preserve">Comercial Cibrasil LTDA. </t>
  </si>
  <si>
    <t xml:space="preserve">Hortigranjeira Mantenense LTDA. </t>
  </si>
  <si>
    <t xml:space="preserve">Ind. Com. de Bebidas Kreusch LTDA. </t>
  </si>
  <si>
    <t xml:space="preserve">Ts Com. de Frutas e Verduras LTDA. </t>
  </si>
  <si>
    <t xml:space="preserve">Hp. Com. Import. Export. Alimen. LTDA. </t>
  </si>
  <si>
    <t xml:space="preserve">Com. de Frutas Sul Bahia LTDA. </t>
  </si>
  <si>
    <t>Pro Higiene Trambrands S/A</t>
  </si>
  <si>
    <t xml:space="preserve">Serraco Com. e Industria LTDA. </t>
  </si>
  <si>
    <t xml:space="preserve">Araucaria Com. e Repres. LTDA. </t>
  </si>
  <si>
    <t>Com. Vinicola Rio Grandense</t>
  </si>
  <si>
    <t xml:space="preserve">Ind. Gessy Lever LTDA. </t>
  </si>
  <si>
    <t>São Paulo Alpargatas S/A</t>
  </si>
  <si>
    <t>Costa S/S Sabonetes e Perfumes</t>
  </si>
  <si>
    <t>White Martins Gases Ind. S/A</t>
  </si>
  <si>
    <t>Guilherme Schramm</t>
  </si>
  <si>
    <t xml:space="preserve">Maison Forestier Emp. Vinhos LTDA. </t>
  </si>
  <si>
    <t>Cia Melhoramentos de São Paulo</t>
  </si>
  <si>
    <t xml:space="preserve">Distr. de Cocos Nortesul LTDA. </t>
  </si>
  <si>
    <t xml:space="preserve">Quimica Catarinense LTDA. </t>
  </si>
  <si>
    <t xml:space="preserve">Antonio Sassaki E Filho LTDA. </t>
  </si>
  <si>
    <t xml:space="preserve">Microlite do Norte Ind. Com. LTDA. </t>
  </si>
  <si>
    <t xml:space="preserve">Comercio de Bebidas Jaragua LTDA. </t>
  </si>
  <si>
    <t>Ingo Bittencourt</t>
  </si>
  <si>
    <t xml:space="preserve">Ind. Com. De Latici. Passold LTDA. </t>
  </si>
  <si>
    <t xml:space="preserve">Dixie Ind. Com. LTDA. </t>
  </si>
  <si>
    <t xml:space="preserve">Lider Com. Prod. Alimenticios LTDA. </t>
  </si>
  <si>
    <t xml:space="preserve">3M do Brasil LTDA. </t>
  </si>
  <si>
    <t xml:space="preserve">Papelaria Cruzeiro LTDA. </t>
  </si>
  <si>
    <t xml:space="preserve">Cordel Ind. Com. De Fumos LTDA. </t>
  </si>
  <si>
    <t>Marajo Ind. Benf. Pedras Mat. Cons. LTDA</t>
  </si>
  <si>
    <t xml:space="preserve">Irmãos Carboni LTDA. </t>
  </si>
  <si>
    <t xml:space="preserve">Agro Comercial Colombense LTDA. </t>
  </si>
  <si>
    <t xml:space="preserve">Klimaco Mat. Farm e Hosp. LTDA. </t>
  </si>
  <si>
    <t xml:space="preserve">IOB Inf. Objet. Publ. Juridicas LTDA. </t>
  </si>
  <si>
    <t xml:space="preserve">Auto Peças Procarro LTDA. </t>
  </si>
  <si>
    <t xml:space="preserve">Rosatex Produtos Quimicos LTDA. </t>
  </si>
  <si>
    <t xml:space="preserve">Arco-Iris Prod. Alimenticios LTDA. </t>
  </si>
  <si>
    <t xml:space="preserve">Radio Floresta Negra LTDA. </t>
  </si>
  <si>
    <t xml:space="preserve">Galpão Ind. Com. de Alimentos Ltda. </t>
  </si>
  <si>
    <t>Hortifrutigrangeiros Trans. Herchen</t>
  </si>
  <si>
    <t xml:space="preserve">Mecanica de Automoveis Anita LTDA. </t>
  </si>
  <si>
    <t xml:space="preserve">Salesbran Com. Frutas Verd. e Cereais LTDA. </t>
  </si>
  <si>
    <t>Industria de Doces Mario Nass ME.</t>
  </si>
  <si>
    <t xml:space="preserve">Somencial Ind. Cevada LTDA. </t>
  </si>
  <si>
    <t xml:space="preserve">Eldorado Indust. Plastica LTDA. </t>
  </si>
  <si>
    <t xml:space="preserve">Fruvil Com. de Frutas LTDA. </t>
  </si>
  <si>
    <t xml:space="preserve">HDS Sistemas LTDA. </t>
  </si>
  <si>
    <t xml:space="preserve">Bardusch Arrendam. Texteis LTDA. </t>
  </si>
  <si>
    <t xml:space="preserve">Florida Com. e Imp. LTDA. </t>
  </si>
  <si>
    <t>Augusto Wilke</t>
  </si>
  <si>
    <t>Otel Organiza. Tec. E Comercial S/A</t>
  </si>
  <si>
    <t>Marcenaria Ravache LTDA.</t>
  </si>
  <si>
    <t xml:space="preserve">Com. de Ferragens Milium LTDA. </t>
  </si>
  <si>
    <t>Cobra Comput. Sist. Brasileiros S/A</t>
  </si>
  <si>
    <t xml:space="preserve">Universo Com. Reps. LTDA. </t>
  </si>
  <si>
    <t>Waldemar Baade</t>
  </si>
  <si>
    <t xml:space="preserve">Copapel Com. Repres. de Papel LTDA. </t>
  </si>
  <si>
    <t>Popasa Potinga Papeis S/A</t>
  </si>
  <si>
    <t>CREDOR</t>
  </si>
  <si>
    <t>União</t>
  </si>
  <si>
    <t>Estado de Santa Catarina</t>
  </si>
  <si>
    <t>Municipio de Joinville</t>
  </si>
  <si>
    <t>DATA DA CONVERSÃO</t>
  </si>
  <si>
    <t>REVISÃO AJ 27/02/19</t>
  </si>
  <si>
    <t>Fls. 287</t>
  </si>
  <si>
    <t>Fls. 294</t>
  </si>
  <si>
    <t>Fls. 295</t>
  </si>
  <si>
    <t>Fls. 296</t>
  </si>
  <si>
    <t>Fls. 297</t>
  </si>
  <si>
    <t>Fls. 298</t>
  </si>
  <si>
    <t>Fls. 299</t>
  </si>
  <si>
    <t>Fls. 301</t>
  </si>
  <si>
    <t>Fls. 302</t>
  </si>
  <si>
    <t>Fls. 303</t>
  </si>
  <si>
    <t>Fls. 305</t>
  </si>
  <si>
    <t>Fls. 306</t>
  </si>
  <si>
    <t>Fls. 480</t>
  </si>
  <si>
    <t>Fls. 509</t>
  </si>
  <si>
    <t>Fls. 510</t>
  </si>
  <si>
    <t>Fls. 511</t>
  </si>
  <si>
    <t>Fls. 512</t>
  </si>
  <si>
    <t>Fls. 513</t>
  </si>
  <si>
    <t>Fls. 514</t>
  </si>
  <si>
    <t>NÃO CONSTA NO NOVO RELATÓRIO DE DÉBITOS</t>
  </si>
  <si>
    <t xml:space="preserve">Quadro 3- CREDITOS TRIBUTÁRIOS </t>
  </si>
  <si>
    <t>Quadro 4 - CREDORES QUIROGRAFÁRIOS</t>
  </si>
  <si>
    <t>Quadro 5 - MULTAS</t>
  </si>
  <si>
    <t>Quadro 2 -CREDORES EXTRACONCURSAIS</t>
  </si>
  <si>
    <t>Extraconcursais</t>
  </si>
  <si>
    <t>MOEDA</t>
  </si>
  <si>
    <t>CR$</t>
  </si>
  <si>
    <t>NCz$</t>
  </si>
  <si>
    <t>Fls. 335-337</t>
  </si>
  <si>
    <t>VALOR ORIGINAL</t>
  </si>
  <si>
    <t>REFERÊNCIA</t>
  </si>
  <si>
    <t>Fls. 61-62</t>
  </si>
  <si>
    <t>BRF Brasil Foods S/A</t>
  </si>
  <si>
    <t>Fls. 507-514</t>
  </si>
  <si>
    <t>Dívida Ativa (Multa) 91697030415-79 - Execução Fiscal n° 5012970-93.2018.4.04.7201 - Fls. 573</t>
  </si>
  <si>
    <t>Dívida Ativa (Multa) 91697030400-92 - Execução Fiscal n° 5012970-93.2018.4.04.7201 - Fls. 576</t>
  </si>
  <si>
    <t>Dívida Ativa (Multa) 91697030414-98 - Execução Fiscal n° 5012970-93.2018.4.04.7201 - Fls. 579</t>
  </si>
  <si>
    <t>Dívida Ativa (Multa) 91697030413-07 - Execução Fiscal n° 5012970-93.2018.4.04.7201 - Fls. 582</t>
  </si>
  <si>
    <t>Dívida Ativa (Multa) 91697030412-26 - Execução Fiscal n° 5012970-93.2018.4.04.7201 - Fls. 585</t>
  </si>
  <si>
    <t>Dívida Ativa (Multa) 91697030410-64 - Execução Fiscal n° 5012970-93.2018.4.04.7201 - Fls. 588</t>
  </si>
  <si>
    <t>Dívida Ativa (Multa) 91697030406-88- Execução Fiscal n° 5012970-93.2018.4.04.7201 - Fls. 591</t>
  </si>
  <si>
    <t>Dívida Ativa (Multa) 91697030411-45- Execução Fiscal n° 5012970-93.2018.4.04.7201 - Fls. 594</t>
  </si>
  <si>
    <t>Dívida Ativa (Multa) 91697030407-69- Execução Fiscal n° 5012970-93.2018.4.04.7201 - Fls. 597</t>
  </si>
  <si>
    <t>Dívida Ativa (Multa) 91697030404-16- Execução Fiscal n° 5012970-93.2018.4.04.7201 - Fls. 600</t>
  </si>
  <si>
    <t>Dívida Ativa (Multa) 91697030403-35 - Execução Fiscal n° 5012970-93.2018.4.04.7201 - Fls. 603</t>
  </si>
  <si>
    <t>Dívida Ativa (Multa) 91697030402-54 - Execução Fiscal n° 5012970-93.2018.4.04.7201 - Fls. 606</t>
  </si>
  <si>
    <t>Dívida Ativa (Multa) 91697030401-73 - Execução Fiscal n° 5012970-93.2018.4.04.7201 - Fls. 609</t>
  </si>
  <si>
    <t>Dívida Ativa (Multa) 91697030499-14 - Execução Fiscal n° 5012970-93.2018.4.04.7201 - Fls. 612</t>
  </si>
  <si>
    <t>Dívida Ativa (Multa) 91697030405-05 - Execução Fiscal n° 5012970-93.2018.4.04.7201 - Fls. 615</t>
  </si>
  <si>
    <t>Dívida Ativa (Multa) 91697030408-40 - Execução Fiscal n° 5012970-93.2018.4.04.7201 - Fls. 618</t>
  </si>
  <si>
    <t>Dívida Ativa (Multa) 91697030478-90 - Execução Fiscal n° 5012970-93.2018.4.04.7201 - Fls. 621</t>
  </si>
  <si>
    <t>Dívida Ativa (Multa) 91697030462-22 - Execução Fiscal n° 5012970-93.2018.4.04.7201 - Fls. 624</t>
  </si>
  <si>
    <t>Fls. 280-286</t>
  </si>
  <si>
    <t>R$</t>
  </si>
  <si>
    <t>REVISÃO AJ 05/03/2019</t>
  </si>
  <si>
    <t>VALOR ATUALIZADO</t>
  </si>
  <si>
    <t>ALTERADO PARA EXTRACONCURSAL</t>
  </si>
  <si>
    <t>Dívida Ativa (Multa)</t>
  </si>
  <si>
    <t xml:space="preserve"> 91697030415-79 - Execução Fiscal n° 5012970-93.2018.4.04.7201 - Fls. 573</t>
  </si>
  <si>
    <t xml:space="preserve"> 91697030400-92 - Execução Fiscal n° 5012970-93.2018.4.04.7201 - Fls. 576</t>
  </si>
  <si>
    <t>91697030414-98 - Execução Fiscal n° 5012970-93.2018.4.04.7201 - Fls. 579</t>
  </si>
  <si>
    <t>91697030413-07 - Execução Fiscal n° 5012970-93.2018.4.04.7201 - Fls. 582</t>
  </si>
  <si>
    <t>91697030412-26 - Execução Fiscal n° 5012970-93.2018.4.04.7201 - Fls. 585</t>
  </si>
  <si>
    <t>91697030410-64 - Execução Fiscal n° 5012970-93.2018.4.04.7201 - Fls. 588</t>
  </si>
  <si>
    <t>91697030411-45- Execução Fiscal n° 5012970-93.2018.4.04.7201 - Fls. 594</t>
  </si>
  <si>
    <t>91697030407-69- Execução Fiscal n° 5012970-93.2018.4.04.7201 - Fls. 597</t>
  </si>
  <si>
    <t>91697030404-16- Execução Fiscal n° 5012970-93.2018.4.04.7201 - Fls. 600</t>
  </si>
  <si>
    <t>91697030403-35 - Execução Fiscal n° 5012970-93.2018.4.04.7201 - Fls. 603</t>
  </si>
  <si>
    <t>91697030402-54 - Execução Fiscal n° 5012970-93.2018.4.04.7201 - Fls. 606</t>
  </si>
  <si>
    <t>91697030401-73 - Execução Fiscal n° 5012970-93.2018.4.04.7201 - Fls. 609</t>
  </si>
  <si>
    <t>91697030499-14 - Execução Fiscal n° 5012970-93.2018.4.04.7201 - Fls. 612</t>
  </si>
  <si>
    <t>91697030405-05 - Execução Fiscal n° 5012970-93.2018.4.04.7201 - Fls. 615</t>
  </si>
  <si>
    <t>91697030408-40 - Execução Fiscal n° 5012970-93.2018.4.04.7201 - Fls. 618</t>
  </si>
  <si>
    <t>91697030478-90 - Execução Fiscal n° 5012970-93.2018.4.04.7201 - Fls. 621</t>
  </si>
  <si>
    <t>91697030462-22 - Execução Fiscal n° 5012970-93.2018.4.04.7201 - Fls. 624</t>
  </si>
  <si>
    <t>91697030406-88- Execução Fiscal n° 5012970-93.2018.4.04.7201 - Fls. 591</t>
  </si>
  <si>
    <t>Município de Joinville</t>
  </si>
  <si>
    <t>OBSERVAÇÕES</t>
  </si>
  <si>
    <t>Execução Fiscal n° 0312898-09.2015.8.24.0064</t>
  </si>
  <si>
    <t>Municipio de São José</t>
  </si>
  <si>
    <t>CDA 81902015</t>
  </si>
  <si>
    <t>2010 a 2013</t>
  </si>
  <si>
    <t>Execção Fiscal</t>
  </si>
  <si>
    <t>CDA 81902015 - de 2010 a 2013</t>
  </si>
  <si>
    <t>CDA 7002</t>
  </si>
  <si>
    <t>Execução Fiscal n° 0903736-38.2015.8.24.0064</t>
  </si>
  <si>
    <t>Execução Fiscal</t>
  </si>
  <si>
    <t xml:space="preserve">A C L Com. e Verduras LTDA. </t>
  </si>
  <si>
    <t>ALDI - Mercantil e Empreendimentos LTDA</t>
  </si>
  <si>
    <t>REVISÃO AJ 10/08/20</t>
  </si>
  <si>
    <t>REVISÃO AJ 10/08/2020</t>
  </si>
  <si>
    <t>Ev. 480</t>
  </si>
  <si>
    <t>REVISÃO AJ 20/01/2020</t>
  </si>
  <si>
    <t>Ev. 529</t>
  </si>
  <si>
    <t>Ev. 353</t>
  </si>
  <si>
    <t>Decisão Anexa</t>
  </si>
  <si>
    <t>REVISÃO AJ 20/01/2021</t>
  </si>
  <si>
    <t>Ev. 360 Anexo 336/337</t>
  </si>
  <si>
    <t>Ev. 441</t>
  </si>
  <si>
    <t>Moeda</t>
  </si>
  <si>
    <t>Fator moeda</t>
  </si>
  <si>
    <t>Mês</t>
  </si>
  <si>
    <t>% Mês</t>
  </si>
  <si>
    <t>Cr$</t>
  </si>
  <si>
    <t>/1000</t>
  </si>
  <si>
    <t>/2750</t>
  </si>
  <si>
    <t>Ev. 593</t>
  </si>
  <si>
    <t>REVISÃO AJ 2021</t>
  </si>
  <si>
    <t xml:space="preserve">Remuneração Administração Judicial </t>
  </si>
  <si>
    <t>Quadro apresentado 25/01/2021 - Ev 556</t>
  </si>
  <si>
    <t>Quadro apresentado 11/08/2020 - Ev . 526</t>
  </si>
  <si>
    <t>Quadro apresentado 08/03/2019 - Ev. 446</t>
  </si>
  <si>
    <t>VALOR</t>
  </si>
  <si>
    <t>REVISÃO AJ</t>
  </si>
  <si>
    <t xml:space="preserve">VALOR </t>
  </si>
  <si>
    <t>IPTU  - Dívida Ativa  - IM 13.20.42.53.5905.0000</t>
  </si>
  <si>
    <t>COSIP - IM 13.20.42.53.5905.0000</t>
  </si>
  <si>
    <t>Ev. 859 - ANEXO2</t>
  </si>
  <si>
    <t>REVISÃO AJ 30/04/2025</t>
  </si>
  <si>
    <t>ANO DO DÉBITO</t>
  </si>
  <si>
    <t>Ev. 859 - ANEXO3</t>
  </si>
  <si>
    <t>Ev. 859 - ANEXO4</t>
  </si>
  <si>
    <t>Ev. 859 - ANEXO5</t>
  </si>
  <si>
    <t>Ev. 859 - ANEXO6</t>
  </si>
  <si>
    <t>Ev. 859 - ANEXO7</t>
  </si>
  <si>
    <t xml:space="preserve">VALOR ATUALIZADO ATÉ </t>
  </si>
  <si>
    <t>OBS</t>
  </si>
  <si>
    <t>EXTRATO DE DÉBITO ATUALIZADO - ANEXO</t>
  </si>
  <si>
    <t>EXTRATO DE DÉBITO ATUALIZADO - ANEXO - PROCESSO DE EXECUÇÃO 5019527-26.2019.8.24.0038</t>
  </si>
  <si>
    <t>EXTRATO DE DÉBITO ATUALIZADO - ANEXO - PROCESSO DE EXECUÇÃO 0903959-98.2017.8.24.0038</t>
  </si>
  <si>
    <t>IPTU - Ajuizada -  IM 13.20.15.81.2454.0000</t>
  </si>
  <si>
    <t>Ev. 870</t>
  </si>
  <si>
    <t>EV. 870</t>
  </si>
  <si>
    <t>EV. 870 -ALTERADO PARA CLASSE DE MULTA</t>
  </si>
  <si>
    <t>DIVERSAS</t>
  </si>
  <si>
    <t>Municipio de são José</t>
  </si>
  <si>
    <t>Taxa de Fiscalização</t>
  </si>
  <si>
    <t>1192 a 1996</t>
  </si>
  <si>
    <t>Taxa de Fiscalização - 1992 a 1998</t>
  </si>
  <si>
    <t>Ev. 869</t>
  </si>
  <si>
    <t>Ev. 868</t>
  </si>
  <si>
    <t xml:space="preserve">excluído </t>
  </si>
  <si>
    <t>IPTU  - Dívida Ativa - IM 13.20.15.81.2454.0000</t>
  </si>
  <si>
    <t>IPTU  - Dívida Ativa  - IM 13.20.15.81.2454.0000</t>
  </si>
  <si>
    <t>Valor estimado pois a PMJ não informou débitos do imovel</t>
  </si>
  <si>
    <t>1992 a 1998</t>
  </si>
  <si>
    <t>Atualização de valores arrecadados (Contas judiciais)</t>
  </si>
  <si>
    <t>Valores arrecadados (Contas judiciais)</t>
  </si>
  <si>
    <t>Cálculo da remunração da AJ</t>
  </si>
  <si>
    <t>Remuneração AJ (5%)</t>
  </si>
  <si>
    <t>EV. 869 INFORMADA VALOR DE 11.926,53 - EV. 906 EXTINTO NÃO HÁ DÉBITOS</t>
  </si>
  <si>
    <t>Ev. 869 E 906</t>
  </si>
  <si>
    <t>PROCESSO FOI JULGADO EXTINTO - CANCELAMENTO DA DÍVIDA ATIVA 30/05/2025</t>
  </si>
  <si>
    <t>PROCESSO FOI JULGADO EXTINTO - CANCELAMENTO DA DÍVIDA ATIVA 03/12/2021</t>
  </si>
  <si>
    <t>EXCLUÍDO EV. 869 INFORMADA VALOR DE R$ 839,82 - EV. 906 EXTINTO NÃO HÁ DÉBITOS</t>
  </si>
  <si>
    <t>Ev. 870 e 909</t>
  </si>
  <si>
    <t>Processo de execução Fiscal n° 0051131-78.1995.8.24.0023 EV. 870 R$ 61,22 EV. 909 VALOR ZERADO</t>
  </si>
  <si>
    <t>REVISÃO AJ 30/04/2025 E 16/07/2025</t>
  </si>
  <si>
    <t>EV.910</t>
  </si>
  <si>
    <t>EV. 909</t>
  </si>
  <si>
    <t>Quadro atualizado em 30/04/2025</t>
  </si>
  <si>
    <t xml:space="preserve">REVISÃO AJ 30/04/2025 </t>
  </si>
  <si>
    <t>REVISÃO AJ 29/05/2026</t>
  </si>
  <si>
    <t>Execução Fiscal n. 0902886-57.2018.8.24.0038 - CDA 9180/2018</t>
  </si>
  <si>
    <t>Execução Fiscal n. 0903959-98.2017.8.24.0038 - CDA 4866/2017</t>
  </si>
  <si>
    <t>Execução Fiscal n. 5014350-53.2024.8.24.0023 - CDAs 1404 e 1405/2014</t>
  </si>
  <si>
    <t>Execução Fiscal n. 5019527-26.2019.8.24.0038 - CDA 18965/2019</t>
  </si>
  <si>
    <t>Execução Fiscal n. 5088935-47.2022.8.24.0023 - CDAs 42608/2022</t>
  </si>
  <si>
    <t>Ev. 868 - 923</t>
  </si>
  <si>
    <t>Ev. 997</t>
  </si>
  <si>
    <t>Quadro apresentado 29/05/2026 - Ev xxx</t>
  </si>
  <si>
    <t>Quadro 3- CRÉDITOS FISCAIS</t>
  </si>
  <si>
    <t>Quadro apresentado em 29/05/2026</t>
  </si>
  <si>
    <t>VALOR EM R$</t>
  </si>
  <si>
    <t>INPC Acumulado</t>
  </si>
  <si>
    <t>Saldo em</t>
  </si>
  <si>
    <t xml:space="preserve">3M do Brasil Ltda </t>
  </si>
  <si>
    <t xml:space="preserve">A B Loss e Cia Ltda </t>
  </si>
  <si>
    <t xml:space="preserve">A C L Com. e Verduras Ltda </t>
  </si>
  <si>
    <t>ACG-Industria Alimentícia Ltda</t>
  </si>
  <si>
    <t xml:space="preserve">Agro Com. Novo Mundo Ltda </t>
  </si>
  <si>
    <t xml:space="preserve">Agro Comercial Colombense Ltda </t>
  </si>
  <si>
    <t>Albercht Carnes Nobres Ltda</t>
  </si>
  <si>
    <t xml:space="preserve">Alceu Breda e Cia Ltda </t>
  </si>
  <si>
    <t>Alim. Congelados Freezer Bom Ltda</t>
  </si>
  <si>
    <t xml:space="preserve">Alimenticios Sasse Ltda </t>
  </si>
  <si>
    <t xml:space="preserve">Amend. e Cia. Ltda Com. e Repres. </t>
  </si>
  <si>
    <t xml:space="preserve">Antonio Sassaki E Filho Ltda </t>
  </si>
  <si>
    <t xml:space="preserve">Araucaria Com. e Repres. Ltda </t>
  </si>
  <si>
    <t xml:space="preserve">Arco-Iris Prod. Alimenticios Ltda </t>
  </si>
  <si>
    <t>Atlantis Brasil Com. e Ind. Ltda</t>
  </si>
  <si>
    <t xml:space="preserve">Auto Peças Procarro Ltda </t>
  </si>
  <si>
    <t xml:space="preserve">Bardusch Arrendam. Texteis Ltda </t>
  </si>
  <si>
    <t>Belpar Distr. de Cosméticos Ltda</t>
  </si>
  <si>
    <t xml:space="preserve">Bem Forte Distr. de Prod. Ind. Ltda </t>
  </si>
  <si>
    <t xml:space="preserve">Bretzke Ind. Com. de Prod. Alim. Ltda </t>
  </si>
  <si>
    <t xml:space="preserve">Campeiro Prod. Alim. I. E C. Ltda </t>
  </si>
  <si>
    <t xml:space="preserve">Carlos Stern e Cia Ltda </t>
  </si>
  <si>
    <t xml:space="preserve">Cena Central Atac. Sec. Molhd. Ltda </t>
  </si>
  <si>
    <t xml:space="preserve">Cerealista Urbano Ltda </t>
  </si>
  <si>
    <t xml:space="preserve">Cipla Ind. Produtos do Lar Ltda </t>
  </si>
  <si>
    <t xml:space="preserve">Climapar Climat. Frutas Ltda </t>
  </si>
  <si>
    <t xml:space="preserve">Colgate Palmolive Ltda </t>
  </si>
  <si>
    <t xml:space="preserve">Columbia Ind. Mat. de Limpeza Ltda </t>
  </si>
  <si>
    <t xml:space="preserve">Com. de Bebidas Pagelkopd Ltda </t>
  </si>
  <si>
    <t xml:space="preserve">Com. de Ferragens Milium Ltda </t>
  </si>
  <si>
    <t xml:space="preserve">Com. de Frutas Sul Bahia Ltda </t>
  </si>
  <si>
    <t xml:space="preserve">Com. de Frutas Verd. Nipo Brasileira Ltda </t>
  </si>
  <si>
    <t xml:space="preserve">Com. de Pescados Dejamar Ltda </t>
  </si>
  <si>
    <t xml:space="preserve">Com. e Ind. Arthur Zindars Ltda </t>
  </si>
  <si>
    <t xml:space="preserve">Com. e Repr. Nelson Ltda </t>
  </si>
  <si>
    <t xml:space="preserve">Com. Frutas e Cereais Jurema Ltda </t>
  </si>
  <si>
    <t xml:space="preserve">Comercial Cibrasil Ltda </t>
  </si>
  <si>
    <t xml:space="preserve">Comercial Imporradora Reis Ltda </t>
  </si>
  <si>
    <t xml:space="preserve">Comercio de Bebidas Jaragua Ltda </t>
  </si>
  <si>
    <t xml:space="preserve">Conde Com. e Imp. Ltda </t>
  </si>
  <si>
    <t>Coop Central Laticinios do Parana Ltda</t>
  </si>
  <si>
    <t xml:space="preserve">Coop. Agrícola Mista Juriti Ltda </t>
  </si>
  <si>
    <t xml:space="preserve">Cooper-Disc Dist. e Repres. Ltda </t>
  </si>
  <si>
    <t xml:space="preserve">Copapel Com. Repres. de Papel Ltda </t>
  </si>
  <si>
    <t xml:space="preserve">Cordel Ind. Com. De Fumos Ltda </t>
  </si>
  <si>
    <t xml:space="preserve">Corning Brasil-Vidros Espec. Ltda </t>
  </si>
  <si>
    <t xml:space="preserve">Deycon Com. Repr. Ltda </t>
  </si>
  <si>
    <t xml:space="preserve">Digebel Distr. Geral de Bebidas Ltda </t>
  </si>
  <si>
    <t>Dipam Distr. de Produtos  A. Monteiro Ltda</t>
  </si>
  <si>
    <t>Disk-Med Dist. de Medicamentos Ltda</t>
  </si>
  <si>
    <t>Distilaria Doble W. Exp. Imp. Ltda</t>
  </si>
  <si>
    <t xml:space="preserve">Distr. de Cocos Nortesul Ltda </t>
  </si>
  <si>
    <t xml:space="preserve">Distr. Rb de Generos Aliment. Ltda </t>
  </si>
  <si>
    <t xml:space="preserve">Distr. Santa Catarina Ltda </t>
  </si>
  <si>
    <t xml:space="preserve">Distr. Sul de Bebidas Ltda </t>
  </si>
  <si>
    <t xml:space="preserve">Dixie Ind. Com. Ltda </t>
  </si>
  <si>
    <t>Dorval Friedrich e Filho Ltda</t>
  </si>
  <si>
    <t xml:space="preserve">Dovale Repr. Comerciais Ltda </t>
  </si>
  <si>
    <t>Dunga Produtos Alimentícios Ltda</t>
  </si>
  <si>
    <t xml:space="preserve">Edmag Com. e Repres. Ltda </t>
  </si>
  <si>
    <t xml:space="preserve">Effen Produtos Alimentícios Ltda </t>
  </si>
  <si>
    <t xml:space="preserve">Eldorado Indust. Plastica Ltda </t>
  </si>
  <si>
    <t xml:space="preserve">Embafest Com. de Artigos P/ Festas Ltda </t>
  </si>
  <si>
    <t>Espabra Generos Alimenticios Ltda</t>
  </si>
  <si>
    <t xml:space="preserve">Extrafruta Ind. de Aliment. Ltda </t>
  </si>
  <si>
    <t xml:space="preserve">Florida Com. e Imp. Ltda </t>
  </si>
  <si>
    <t xml:space="preserve">Formularios Ltda </t>
  </si>
  <si>
    <t>Franzner Alimentos Ltda</t>
  </si>
  <si>
    <t xml:space="preserve">Freitag Import. e Export. Ltda </t>
  </si>
  <si>
    <t xml:space="preserve">Fritex Ind. Alimenticias Lisboense Ltda </t>
  </si>
  <si>
    <t xml:space="preserve">Fruvil Com. de Frutas Ltda </t>
  </si>
  <si>
    <t xml:space="preserve">Galpão Ind. Com. de Alimentos Ltda </t>
  </si>
  <si>
    <t>Garpe Com. E Repr. Ltda</t>
  </si>
  <si>
    <t xml:space="preserve">Gessy Lever Alimentos Ltda </t>
  </si>
  <si>
    <t>Gonzalez e Cia Ltda</t>
  </si>
  <si>
    <t>Gráfica Mapel Ltda</t>
  </si>
  <si>
    <t xml:space="preserve">HDS Sistemas Ltda </t>
  </si>
  <si>
    <t xml:space="preserve">Heublein do Brasil Com. e Ind. Ltda </t>
  </si>
  <si>
    <t xml:space="preserve">Hfur Com. e Repres. Ltda </t>
  </si>
  <si>
    <t>Hortigranjeira Aguas Claras Ltda</t>
  </si>
  <si>
    <t>Hortigranjeira Bedin Ltda</t>
  </si>
  <si>
    <t xml:space="preserve">Hortigranjeira Mantenense Ltda </t>
  </si>
  <si>
    <t xml:space="preserve">Hp. Com. Import. Export. Alimen. Ltda </t>
  </si>
  <si>
    <t xml:space="preserve">Incopan Ind. Com. e Panificação Ltda </t>
  </si>
  <si>
    <t xml:space="preserve">Incregel Ind. Com. Repr. Gerais Ltda </t>
  </si>
  <si>
    <t xml:space="preserve">Ind. Com. Agricola Mathies Ltda </t>
  </si>
  <si>
    <t xml:space="preserve">Ind. Com. Bebidas dos Tropicos Ltda </t>
  </si>
  <si>
    <t xml:space="preserve">Ind. Com. de Bebidas Kreusch Ltda </t>
  </si>
  <si>
    <t xml:space="preserve">Ind. Com. de Doces Carijos Ltda </t>
  </si>
  <si>
    <t xml:space="preserve">Ind. Com. De Latici. Passold Ltda </t>
  </si>
  <si>
    <t>Ind. Com. de Laticínios Chapeco Ltda</t>
  </si>
  <si>
    <t>Ind. Com. Polvilho Sevegnani Ltda</t>
  </si>
  <si>
    <t xml:space="preserve">Ind. de Alimentos Massita Ltda </t>
  </si>
  <si>
    <t xml:space="preserve">Ind. de Bebidas Cardoso Ltda </t>
  </si>
  <si>
    <t xml:space="preserve">Ind. de Embalagens Lages Ltda </t>
  </si>
  <si>
    <t xml:space="preserve">Ind. Gessy Lever Ltda </t>
  </si>
  <si>
    <t xml:space="preserve">IOB Inf. Objet. Publ. Juridicas Ltda </t>
  </si>
  <si>
    <t xml:space="preserve">Irmaos Braziliano Ltda </t>
  </si>
  <si>
    <t xml:space="preserve">Irmãos Carboni Ltda </t>
  </si>
  <si>
    <t xml:space="preserve">Irmaos Molon Ltda </t>
  </si>
  <si>
    <t xml:space="preserve">Jasicafe Ind. Com. Café Ltda </t>
  </si>
  <si>
    <t xml:space="preserve">João Haupt e Cia Ltda </t>
  </si>
  <si>
    <t xml:space="preserve">Johmar Com. Repr. Ltda </t>
  </si>
  <si>
    <t xml:space="preserve">Kaminski Distr. Universal Ltda </t>
  </si>
  <si>
    <t xml:space="preserve">KC do Brasil Ltda </t>
  </si>
  <si>
    <t xml:space="preserve">Klimaco Mat. Farm e Hosp. Ltda </t>
  </si>
  <si>
    <t xml:space="preserve">La Violeterea Ind. Com. Generos Alim. Ltda </t>
  </si>
  <si>
    <t>Laticinio Globo Ltda</t>
  </si>
  <si>
    <t>Laticinios Lacador Ltda</t>
  </si>
  <si>
    <t xml:space="preserve">Librizzi e Cia Ltda </t>
  </si>
  <si>
    <t xml:space="preserve">Lider Com. Prod. Alimenticios Ltda </t>
  </si>
  <si>
    <t>Luiz Kienen Bebidas Ltda</t>
  </si>
  <si>
    <t xml:space="preserve">Lukisa Distr. de Bebidas Ltda </t>
  </si>
  <si>
    <t xml:space="preserve">Luminar Com. Ind. Ltda </t>
  </si>
  <si>
    <t xml:space="preserve">Lunardon e Cia Ltda </t>
  </si>
  <si>
    <t xml:space="preserve">Mabispa Alimentos Ltda </t>
  </si>
  <si>
    <t xml:space="preserve">Maison Forestier Emp. Vinhos Ltda </t>
  </si>
  <si>
    <t xml:space="preserve">Manoela Ind. de Massas Ltda </t>
  </si>
  <si>
    <t>Marcenaria Ravache Ltda</t>
  </si>
  <si>
    <t xml:space="preserve">Mark Alimentos Ltda </t>
  </si>
  <si>
    <t xml:space="preserve">Martini e Rossi Ltda </t>
  </si>
  <si>
    <t xml:space="preserve">MCI Informática Ltda </t>
  </si>
  <si>
    <t xml:space="preserve">Mecanica de Automoveis Anita Ltda </t>
  </si>
  <si>
    <t xml:space="preserve">Melitta do Brasil Ind. Com. Ltda </t>
  </si>
  <si>
    <t>Metalurgica Backer Ind. Com. Ltda</t>
  </si>
  <si>
    <t xml:space="preserve">Metalurgica Caliano Ltda </t>
  </si>
  <si>
    <t xml:space="preserve">Microlite do Norte Ind. Com. Ltda </t>
  </si>
  <si>
    <t xml:space="preserve">Moinho Carlos Guth Ltda </t>
  </si>
  <si>
    <t xml:space="preserve">Multibom Distr. de Prod. Aliment. Ltda </t>
  </si>
  <si>
    <t>Nestle Ind. Com. Ltda</t>
  </si>
  <si>
    <t xml:space="preserve">Niposul Com. e Repr. De Prod. Alim. Ltda </t>
  </si>
  <si>
    <t xml:space="preserve">Norte Alimentos Ltda </t>
  </si>
  <si>
    <t xml:space="preserve">Nova Filozam Com. Imp. Exp. Ltda </t>
  </si>
  <si>
    <t>Osati Representações Com. Ltda</t>
  </si>
  <si>
    <t xml:space="preserve">Papelaria Cruzeiro Ltda </t>
  </si>
  <si>
    <t>Pastificio Fio de Ouro Ltda</t>
  </si>
  <si>
    <t>Paz e Iazzetti Cia Ltda</t>
  </si>
  <si>
    <t xml:space="preserve">Pelforte Com. e Ind. de Papeis Ltda </t>
  </si>
  <si>
    <t>Plasticom Plasticos Ind. e Com. Ltda</t>
  </si>
  <si>
    <t xml:space="preserve">Plásticos Suzuki Ltda </t>
  </si>
  <si>
    <t>Plasvale Ind. Plast. do Vale Ltda</t>
  </si>
  <si>
    <t xml:space="preserve">Prod. Aliment. Fleischmann e Royal Ltda </t>
  </si>
  <si>
    <t xml:space="preserve">Prod. Alimentares Jr. Ltda </t>
  </si>
  <si>
    <t xml:space="preserve">Prodalin Com. Repr. Ltda </t>
  </si>
  <si>
    <t xml:space="preserve">Quaker Alimentos Ltda </t>
  </si>
  <si>
    <t xml:space="preserve">Quimica Catarinense Ltda </t>
  </si>
  <si>
    <t xml:space="preserve">Radio Brasil Novo Ltda </t>
  </si>
  <si>
    <t xml:space="preserve">Radio Colon Ltda </t>
  </si>
  <si>
    <t xml:space="preserve">Radio Cultura de Joinville Ltda </t>
  </si>
  <si>
    <t>Radio Difusora São Francisco Ltda</t>
  </si>
  <si>
    <t xml:space="preserve">Radio Floresta Negra Ltda </t>
  </si>
  <si>
    <t xml:space="preserve">Rede Comunc. Perola Vale Ltda </t>
  </si>
  <si>
    <t xml:space="preserve">Refinações de Milho Brasil Ltda </t>
  </si>
  <si>
    <t xml:space="preserve">Reisol Prod. Alimenticios Ltda </t>
  </si>
  <si>
    <t xml:space="preserve">Represent. Goedert Stanke Ltda </t>
  </si>
  <si>
    <t>Restaurante Pizzaria Veneza Ltda</t>
  </si>
  <si>
    <t xml:space="preserve">Roberto Carlos Fernandes Cia Ltda </t>
  </si>
  <si>
    <t xml:space="preserve">Romanha Ind. de Alimentos Ltda </t>
  </si>
  <si>
    <t xml:space="preserve">Rosatex Produtos Quimicos Ltda </t>
  </si>
  <si>
    <t xml:space="preserve">Salesbran Com. Frutas Verd. e Cereais Ltda </t>
  </si>
  <si>
    <t xml:space="preserve">São Conrado-Distr. Prod. Alimenticios Ltda </t>
  </si>
  <si>
    <t xml:space="preserve">Seagran do Brasil Ind. Com. Ltda </t>
  </si>
  <si>
    <t>Sedigo Lesniovski e Cia Ltda</t>
  </si>
  <si>
    <t xml:space="preserve">Serraco Com. e Industria Ltda </t>
  </si>
  <si>
    <t xml:space="preserve">Somencial Ind. Cevada Ltda </t>
  </si>
  <si>
    <t xml:space="preserve">Sonho Infantil Com. Repr. Art. Festas Ltda </t>
  </si>
  <si>
    <t>Tip Top Alimentos Ltda</t>
  </si>
  <si>
    <t xml:space="preserve">Totsu Com. de Frutas e Verduras Ltda </t>
  </si>
  <si>
    <t xml:space="preserve">Ts Com. de Frutas e Verduras Ltda </t>
  </si>
  <si>
    <t>U.G. Ind. e Com. de Embal. Ltda</t>
  </si>
  <si>
    <t xml:space="preserve">Universo Com. Reps. Ltda </t>
  </si>
  <si>
    <t>Vemate Verdinha Ind. do Mate Ltda</t>
  </si>
  <si>
    <t>Weegw Ind. Alimenticia Ltda</t>
  </si>
  <si>
    <t>ALDI - Mercantil e Empreendimentos Ltda</t>
  </si>
  <si>
    <t>Arisco Prod. Alimentícios Ltda</t>
  </si>
  <si>
    <t>Buschle Irmaos Ltda</t>
  </si>
  <si>
    <t>Casa Do Panificador Ind. e Com. Ltda</t>
  </si>
  <si>
    <t>Catarinense de Refrigerantes Ltda</t>
  </si>
  <si>
    <t>Com. de Frutas e Verduras JIN Ltda</t>
  </si>
  <si>
    <t>Distr. Muller Com. e Represe. Ltda</t>
  </si>
  <si>
    <t>Distri. de Bebidas Joinville Ltda</t>
  </si>
  <si>
    <t>Frangos Camboriú Com. e Abate Ltda</t>
  </si>
  <si>
    <t>Frigorifico Cemim Ltda</t>
  </si>
  <si>
    <t>Gloria Distr. de Produtos Alimentos Ltda</t>
  </si>
  <si>
    <t>Impulso Equipamentos e Serviços Ltda</t>
  </si>
  <si>
    <t>Ind. Produtos Alimenticios Cory Ltda</t>
  </si>
  <si>
    <t>Laticinios Tirol Ltda</t>
  </si>
  <si>
    <t>Marajo Ind. Benf. Pedras Mat. Cons. Ltda</t>
  </si>
  <si>
    <t>Milton Jose Borguetti e Cia Ltda</t>
  </si>
  <si>
    <t>Pamal Com. de Alimentos Ltda</t>
  </si>
  <si>
    <t xml:space="preserve">TV Barriga Verde Ltda </t>
  </si>
  <si>
    <t>0051131-78.1995.8.24.0023</t>
  </si>
  <si>
    <t>0030402-31.1995.8.24.0023</t>
  </si>
  <si>
    <t>0005200-70.1996.8.24.0038</t>
  </si>
  <si>
    <t>0000542-62.1989.8.24.0033</t>
  </si>
  <si>
    <t>0005192-93.1996.8.24.0038</t>
  </si>
  <si>
    <t>0005196-33.1996.8.24.0038</t>
  </si>
  <si>
    <t>-</t>
  </si>
  <si>
    <t>0003291-90.1996.8.24.0038</t>
  </si>
  <si>
    <t>ICMS</t>
  </si>
  <si>
    <t>FUNJURE</t>
  </si>
  <si>
    <t>REVISÃO AJ 31/05/2026</t>
  </si>
  <si>
    <t>TOTAL DA CLASSE</t>
  </si>
  <si>
    <t>Quadro 2- CREDORES  PREFERENCIAIS TRABALHISTAS</t>
  </si>
  <si>
    <t>Quadro 3- CREDITOS PREFERENCIAIS FISCAIS</t>
  </si>
  <si>
    <t>CRÉDITOS PREFERENCIAIS - FISCAIS</t>
  </si>
  <si>
    <t>CRÉDITOS PREFERENCIAIS - ACIDENTÁRIOS E TRABALHISTAS</t>
  </si>
  <si>
    <t>Valor por crédito</t>
  </si>
  <si>
    <t>Valor consolidado</t>
  </si>
  <si>
    <t>CRÉDITOS PREFERENCIAIS - ENCARGOS DA MASSA</t>
  </si>
  <si>
    <t>CRÉDITOS CONCURSAIS - QUIROGRAFÁRIOS</t>
  </si>
  <si>
    <t xml:space="preserve"> RESUMO DE CRÉDITOS HABILITADOS POR CLASSE DE CREDORES</t>
  </si>
  <si>
    <t>Quadro apresentado em 11/08/2026</t>
  </si>
  <si>
    <t>Evento 997</t>
  </si>
  <si>
    <t>Execução</t>
  </si>
  <si>
    <t>CDA</t>
  </si>
  <si>
    <t>9180/2018</t>
  </si>
  <si>
    <t>0902886-57.2018.8.24.0038</t>
  </si>
  <si>
    <t>0903959-98.2017.8.24.0038</t>
  </si>
  <si>
    <t>4866/2017</t>
  </si>
  <si>
    <t>5014350-53.2024.8.24.0023</t>
  </si>
  <si>
    <t>5019527-26.2019.8.24.0038</t>
  </si>
  <si>
    <t>18965/2019</t>
  </si>
  <si>
    <t>5088935-47.2022.8.24.0023</t>
  </si>
  <si>
    <t>42608/2022</t>
  </si>
  <si>
    <t>Tributo</t>
  </si>
  <si>
    <t>Honorários</t>
  </si>
  <si>
    <t>Total</t>
  </si>
  <si>
    <t>Vencimento</t>
  </si>
  <si>
    <t>IPTU 2019</t>
  </si>
  <si>
    <t>IPTU 2020</t>
  </si>
  <si>
    <t>1404 e 1405/2024</t>
  </si>
  <si>
    <t>IPTU 2015</t>
  </si>
  <si>
    <t>IPTU 2017</t>
  </si>
  <si>
    <t>IPTU 2018</t>
  </si>
  <si>
    <t>IPTU 2016</t>
  </si>
  <si>
    <t>Acumulado até 07/2026</t>
  </si>
  <si>
    <t>Original</t>
  </si>
  <si>
    <t>INPC acumulado - 07/2026</t>
  </si>
  <si>
    <t>Atualizado</t>
  </si>
  <si>
    <t>Ref</t>
  </si>
  <si>
    <t>CNPJ</t>
  </si>
  <si>
    <t>EV. 997 - Execução Fiscal n. 0902886-57.2018.8.24.0038</t>
  </si>
  <si>
    <t>EV. 997 - Execução Fiscal n. 0903959-98.2017.8.24.0038</t>
  </si>
  <si>
    <t>EV. 997 - Execução Fiscal n. 5014350-53.2024.8.24.0023</t>
  </si>
  <si>
    <t>EV. 997 - Execução Fiscal n. 5019527-26.2019.8.24.0038</t>
  </si>
  <si>
    <t>EV. 997 - Execução Fiscal n. 5088935-47.2022.8.24.0023</t>
  </si>
  <si>
    <t>Vlr. Original</t>
  </si>
  <si>
    <t>Vlr. Atualizado até: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</si>
</sst>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00_-;\-* #,##0.0000_-;_-* &quot;-&quot;????_-;_-@_-"/>
    <numFmt numFmtId="165" formatCode="0.00000%"/>
    <numFmt numFmtId="166" formatCode="_-* #,##0.000000000000_-;\-* #,##0.000000000000_-;_-* &quot;-&quot;??_-;_-@_-"/>
    <numFmt numFmtId="167" formatCode="_-* #,##0.00000_-;\-* #,##0.00000_-;_-* &quot;-&quot;?????_-;_-@_-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Segoe UI"/>
      <family val="2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name val="Calibri "/>
    </font>
    <font>
      <b/>
      <sz val="10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3" fontId="4" fillId="0" borderId="0" xfId="1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2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14" fontId="4" fillId="0" borderId="0" xfId="0" applyNumberFormat="1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3" fontId="4" fillId="0" borderId="1" xfId="1" applyFont="1" applyBorder="1" applyAlignment="1">
      <alignment horizontal="left"/>
    </xf>
    <xf numFmtId="43" fontId="4" fillId="0" borderId="1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/>
    <xf numFmtId="0" fontId="4" fillId="0" borderId="5" xfId="2" applyNumberFormat="1" applyFont="1" applyBorder="1" applyAlignment="1">
      <alignment horizontal="center"/>
    </xf>
    <xf numFmtId="43" fontId="4" fillId="0" borderId="5" xfId="1" applyFont="1" applyBorder="1"/>
    <xf numFmtId="0" fontId="4" fillId="0" borderId="5" xfId="0" applyFont="1" applyBorder="1" applyAlignment="1">
      <alignment horizontal="right"/>
    </xf>
    <xf numFmtId="0" fontId="3" fillId="5" borderId="1" xfId="0" applyFont="1" applyFill="1" applyBorder="1"/>
    <xf numFmtId="43" fontId="4" fillId="0" borderId="1" xfId="1" applyFont="1" applyBorder="1" applyAlignment="1">
      <alignment horizontal="right" vertical="center"/>
    </xf>
    <xf numFmtId="14" fontId="4" fillId="0" borderId="1" xfId="1" applyNumberFormat="1" applyFont="1" applyBorder="1"/>
    <xf numFmtId="0" fontId="4" fillId="0" borderId="0" xfId="0" applyFont="1" applyAlignment="1">
      <alignment horizontal="right"/>
    </xf>
    <xf numFmtId="43" fontId="3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left"/>
    </xf>
    <xf numFmtId="43" fontId="4" fillId="0" borderId="1" xfId="1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/>
    </xf>
    <xf numFmtId="0" fontId="5" fillId="0" borderId="0" xfId="0" applyFont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4" fillId="0" borderId="0" xfId="1" applyNumberFormat="1" applyFont="1"/>
    <xf numFmtId="0" fontId="4" fillId="0" borderId="1" xfId="2" applyNumberFormat="1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43" fontId="3" fillId="5" borderId="1" xfId="0" applyNumberFormat="1" applyFont="1" applyFill="1" applyBorder="1" applyAlignment="1">
      <alignment vertical="center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43" fontId="9" fillId="5" borderId="1" xfId="0" applyNumberFormat="1" applyFont="1" applyFill="1" applyBorder="1"/>
    <xf numFmtId="0" fontId="4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43" fontId="3" fillId="0" borderId="1" xfId="0" applyNumberFormat="1" applyFont="1" applyBorder="1"/>
    <xf numFmtId="0" fontId="3" fillId="0" borderId="1" xfId="0" applyFont="1" applyBorder="1"/>
    <xf numFmtId="43" fontId="3" fillId="0" borderId="1" xfId="1" applyFont="1" applyBorder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3" fontId="3" fillId="0" borderId="1" xfId="1" applyFont="1" applyBorder="1"/>
    <xf numFmtId="43" fontId="4" fillId="0" borderId="1" xfId="1" applyFont="1" applyFill="1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3" fontId="3" fillId="7" borderId="1" xfId="1" applyFont="1" applyFill="1" applyBorder="1" applyAlignment="1">
      <alignment horizontal="center" vertical="center" wrapText="1"/>
    </xf>
    <xf numFmtId="43" fontId="3" fillId="7" borderId="1" xfId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43" fontId="3" fillId="7" borderId="1" xfId="1" applyFont="1" applyFill="1" applyBorder="1" applyAlignment="1">
      <alignment horizontal="center"/>
    </xf>
    <xf numFmtId="14" fontId="4" fillId="0" borderId="1" xfId="1" applyNumberFormat="1" applyFont="1" applyFill="1" applyBorder="1"/>
    <xf numFmtId="43" fontId="3" fillId="7" borderId="1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4" fontId="4" fillId="0" borderId="1" xfId="0" applyNumberFormat="1" applyFont="1" applyBorder="1"/>
    <xf numFmtId="0" fontId="4" fillId="3" borderId="1" xfId="0" applyFont="1" applyFill="1" applyBorder="1"/>
    <xf numFmtId="14" fontId="4" fillId="3" borderId="1" xfId="0" applyNumberFormat="1" applyFont="1" applyFill="1" applyBorder="1"/>
    <xf numFmtId="4" fontId="4" fillId="3" borderId="1" xfId="0" applyNumberFormat="1" applyFont="1" applyFill="1" applyBorder="1"/>
    <xf numFmtId="3" fontId="4" fillId="0" borderId="1" xfId="0" applyNumberFormat="1" applyFont="1" applyBorder="1"/>
    <xf numFmtId="0" fontId="4" fillId="4" borderId="0" xfId="0" applyFont="1" applyFill="1"/>
    <xf numFmtId="43" fontId="4" fillId="0" borderId="0" xfId="0" applyNumberFormat="1" applyFont="1"/>
    <xf numFmtId="43" fontId="11" fillId="0" borderId="0" xfId="0" applyNumberFormat="1" applyFont="1"/>
    <xf numFmtId="0" fontId="4" fillId="0" borderId="0" xfId="2" applyNumberFormat="1" applyFont="1" applyAlignment="1">
      <alignment horizontal="center"/>
    </xf>
    <xf numFmtId="43" fontId="3" fillId="0" borderId="0" xfId="1" applyFont="1"/>
    <xf numFmtId="0" fontId="0" fillId="0" borderId="0" xfId="0" applyAlignment="1">
      <alignment horizontal="left"/>
    </xf>
    <xf numFmtId="0" fontId="1" fillId="0" borderId="0" xfId="0" applyFont="1"/>
    <xf numFmtId="0" fontId="12" fillId="0" borderId="0" xfId="0" applyFont="1" applyAlignment="1">
      <alignment horizontal="left"/>
    </xf>
    <xf numFmtId="17" fontId="13" fillId="0" borderId="0" xfId="0" applyNumberFormat="1" applyFont="1" applyAlignment="1">
      <alignment horizontal="left"/>
    </xf>
    <xf numFmtId="10" fontId="13" fillId="0" borderId="0" xfId="4" applyNumberFormat="1" applyFont="1" applyFill="1" applyBorder="1"/>
    <xf numFmtId="164" fontId="0" fillId="0" borderId="0" xfId="0" applyNumberFormat="1"/>
    <xf numFmtId="43" fontId="0" fillId="0" borderId="0" xfId="1" applyFont="1"/>
    <xf numFmtId="165" fontId="0" fillId="0" borderId="0" xfId="4" applyNumberFormat="1" applyFont="1"/>
    <xf numFmtId="166" fontId="0" fillId="0" borderId="0" xfId="0" applyNumberFormat="1"/>
    <xf numFmtId="43" fontId="0" fillId="0" borderId="0" xfId="0" applyNumberFormat="1"/>
    <xf numFmtId="165" fontId="0" fillId="0" borderId="0" xfId="0" applyNumberFormat="1"/>
    <xf numFmtId="167" fontId="0" fillId="0" borderId="0" xfId="0" applyNumberFormat="1"/>
    <xf numFmtId="17" fontId="13" fillId="0" borderId="0" xfId="0" applyNumberFormat="1" applyFont="1" applyAlignment="1">
      <alignment horizontal="left" vertical="center" wrapText="1"/>
    </xf>
    <xf numFmtId="43" fontId="4" fillId="0" borderId="0" xfId="1" applyFont="1" applyBorder="1"/>
    <xf numFmtId="43" fontId="3" fillId="0" borderId="0" xfId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43" fontId="4" fillId="0" borderId="12" xfId="1" applyFont="1" applyBorder="1"/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43" fontId="4" fillId="0" borderId="29" xfId="1" applyFont="1" applyBorder="1"/>
    <xf numFmtId="43" fontId="3" fillId="5" borderId="16" xfId="1" applyFont="1" applyFill="1" applyBorder="1"/>
    <xf numFmtId="43" fontId="4" fillId="0" borderId="29" xfId="1" applyFont="1" applyBorder="1" applyAlignment="1">
      <alignment horizontal="center" vertical="center"/>
    </xf>
    <xf numFmtId="43" fontId="4" fillId="0" borderId="29" xfId="1" applyFont="1" applyBorder="1" applyAlignment="1">
      <alignment horizontal="left"/>
    </xf>
    <xf numFmtId="43" fontId="4" fillId="0" borderId="13" xfId="1" applyFont="1" applyBorder="1"/>
    <xf numFmtId="43" fontId="4" fillId="0" borderId="12" xfId="1" applyFont="1" applyBorder="1" applyAlignment="1">
      <alignment horizontal="center" vertical="center"/>
    </xf>
    <xf numFmtId="43" fontId="4" fillId="0" borderId="12" xfId="1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43" fontId="4" fillId="0" borderId="13" xfId="1" applyFont="1" applyBorder="1" applyAlignment="1">
      <alignment horizontal="center" vertical="center"/>
    </xf>
    <xf numFmtId="43" fontId="4" fillId="0" borderId="13" xfId="1" applyFont="1" applyBorder="1" applyAlignment="1">
      <alignment horizontal="left"/>
    </xf>
    <xf numFmtId="0" fontId="3" fillId="5" borderId="32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43" fontId="3" fillId="5" borderId="1" xfId="0" applyNumberFormat="1" applyFont="1" applyFill="1" applyBorder="1" applyAlignment="1">
      <alignment horizontal="center"/>
    </xf>
    <xf numFmtId="0" fontId="4" fillId="5" borderId="2" xfId="0" applyFont="1" applyFill="1" applyBorder="1"/>
    <xf numFmtId="43" fontId="3" fillId="5" borderId="31" xfId="1" applyFont="1" applyFill="1" applyBorder="1"/>
    <xf numFmtId="0" fontId="4" fillId="5" borderId="17" xfId="0" applyFont="1" applyFill="1" applyBorder="1"/>
    <xf numFmtId="0" fontId="4" fillId="5" borderId="4" xfId="0" applyFont="1" applyFill="1" applyBorder="1"/>
    <xf numFmtId="0" fontId="3" fillId="5" borderId="11" xfId="0" applyFont="1" applyFill="1" applyBorder="1" applyAlignment="1">
      <alignment vertical="center" wrapText="1"/>
    </xf>
    <xf numFmtId="0" fontId="3" fillId="5" borderId="37" xfId="0" applyFont="1" applyFill="1" applyBorder="1" applyAlignment="1">
      <alignment horizontal="center" vertical="center" wrapText="1"/>
    </xf>
    <xf numFmtId="14" fontId="4" fillId="0" borderId="2" xfId="1" applyNumberFormat="1" applyFont="1" applyBorder="1"/>
    <xf numFmtId="0" fontId="4" fillId="5" borderId="39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43" fontId="3" fillId="0" borderId="0" xfId="1" applyFont="1" applyAlignment="1">
      <alignment horizontal="center" vertical="center" wrapText="1"/>
    </xf>
    <xf numFmtId="43" fontId="3" fillId="5" borderId="1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right"/>
    </xf>
    <xf numFmtId="43" fontId="4" fillId="5" borderId="16" xfId="1" applyFont="1" applyFill="1" applyBorder="1"/>
    <xf numFmtId="43" fontId="4" fillId="5" borderId="18" xfId="1" applyFont="1" applyFill="1" applyBorder="1"/>
    <xf numFmtId="0" fontId="3" fillId="5" borderId="4" xfId="0" applyFont="1" applyFill="1" applyBorder="1" applyAlignment="1">
      <alignment horizontal="center" vertical="center" wrapText="1"/>
    </xf>
    <xf numFmtId="43" fontId="3" fillId="5" borderId="12" xfId="1" applyFont="1" applyFill="1" applyBorder="1" applyAlignment="1">
      <alignment horizontal="center" vertical="center" wrapText="1"/>
    </xf>
    <xf numFmtId="43" fontId="3" fillId="5" borderId="1" xfId="1" applyFont="1" applyFill="1" applyBorder="1"/>
    <xf numFmtId="43" fontId="3" fillId="5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43" fontId="4" fillId="0" borderId="12" xfId="1" applyFont="1" applyBorder="1" applyAlignment="1">
      <alignment vertical="center"/>
    </xf>
    <xf numFmtId="43" fontId="4" fillId="0" borderId="3" xfId="1" applyFont="1" applyBorder="1" applyAlignment="1">
      <alignment vertical="center"/>
    </xf>
    <xf numFmtId="0" fontId="4" fillId="0" borderId="2" xfId="2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43" fontId="4" fillId="0" borderId="29" xfId="1" applyFont="1" applyBorder="1" applyAlignment="1">
      <alignment vertical="center"/>
    </xf>
    <xf numFmtId="14" fontId="4" fillId="0" borderId="1" xfId="1" applyNumberFormat="1" applyFont="1" applyBorder="1" applyAlignment="1">
      <alignment vertical="center"/>
    </xf>
    <xf numFmtId="43" fontId="4" fillId="0" borderId="12" xfId="1" applyFont="1" applyBorder="1" applyAlignment="1">
      <alignment horizontal="right" vertical="center"/>
    </xf>
    <xf numFmtId="43" fontId="4" fillId="0" borderId="3" xfId="1" applyFont="1" applyBorder="1" applyAlignment="1">
      <alignment horizontal="right" vertical="center"/>
    </xf>
    <xf numFmtId="44" fontId="4" fillId="0" borderId="0" xfId="0" applyNumberFormat="1" applyFont="1" applyAlignment="1">
      <alignment vertical="center"/>
    </xf>
    <xf numFmtId="0" fontId="4" fillId="0" borderId="7" xfId="2" applyNumberFormat="1" applyFont="1" applyBorder="1" applyAlignment="1">
      <alignment horizontal="center" vertical="center"/>
    </xf>
    <xf numFmtId="43" fontId="4" fillId="0" borderId="14" xfId="1" applyFont="1" applyBorder="1" applyAlignment="1">
      <alignment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43" fontId="4" fillId="0" borderId="30" xfId="1" applyFont="1" applyBorder="1" applyAlignment="1">
      <alignment vertical="center"/>
    </xf>
    <xf numFmtId="14" fontId="4" fillId="0" borderId="5" xfId="1" applyNumberFormat="1" applyFont="1" applyBorder="1" applyAlignment="1">
      <alignment vertical="center"/>
    </xf>
    <xf numFmtId="43" fontId="4" fillId="0" borderId="1" xfId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43" fontId="3" fillId="5" borderId="16" xfId="0" applyNumberFormat="1" applyFont="1" applyFill="1" applyBorder="1" applyAlignment="1">
      <alignment vertical="center"/>
    </xf>
    <xf numFmtId="43" fontId="3" fillId="5" borderId="17" xfId="0" applyNumberFormat="1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43" fontId="3" fillId="5" borderId="31" xfId="0" applyNumberFormat="1" applyFont="1" applyFill="1" applyBorder="1" applyAlignment="1">
      <alignment vertical="center"/>
    </xf>
    <xf numFmtId="43" fontId="3" fillId="5" borderId="16" xfId="1" applyFont="1" applyFill="1" applyBorder="1" applyAlignment="1">
      <alignment vertical="center"/>
    </xf>
    <xf numFmtId="43" fontId="3" fillId="5" borderId="41" xfId="1" applyFont="1" applyFill="1" applyBorder="1" applyAlignment="1">
      <alignment vertical="center"/>
    </xf>
    <xf numFmtId="8" fontId="4" fillId="0" borderId="0" xfId="0" applyNumberFormat="1" applyFont="1" applyAlignment="1">
      <alignment vertical="center"/>
    </xf>
    <xf numFmtId="0" fontId="4" fillId="0" borderId="13" xfId="0" applyFont="1" applyBorder="1" applyAlignment="1">
      <alignment horizontal="right" vertical="center" wrapText="1"/>
    </xf>
    <xf numFmtId="0" fontId="5" fillId="5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3" xfId="1" applyFont="1" applyBorder="1" applyAlignment="1">
      <alignment vertical="center"/>
    </xf>
    <xf numFmtId="43" fontId="4" fillId="0" borderId="36" xfId="1" applyFont="1" applyBorder="1" applyAlignment="1">
      <alignment vertical="center"/>
    </xf>
    <xf numFmtId="43" fontId="4" fillId="0" borderId="2" xfId="1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2" applyNumberFormat="1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43" fontId="4" fillId="0" borderId="4" xfId="0" applyNumberFormat="1" applyFont="1" applyBorder="1" applyAlignment="1">
      <alignment horizontal="left" vertical="center"/>
    </xf>
    <xf numFmtId="14" fontId="4" fillId="0" borderId="2" xfId="1" applyNumberFormat="1" applyFont="1" applyBorder="1" applyAlignment="1">
      <alignment vertical="center"/>
    </xf>
    <xf numFmtId="43" fontId="4" fillId="0" borderId="13" xfId="1" applyFont="1" applyBorder="1" applyAlignment="1">
      <alignment horizontal="left" vertical="center"/>
    </xf>
    <xf numFmtId="43" fontId="4" fillId="2" borderId="1" xfId="1" applyFont="1" applyFill="1" applyBorder="1" applyAlignment="1">
      <alignment vertical="center"/>
    </xf>
    <xf numFmtId="43" fontId="4" fillId="0" borderId="29" xfId="1" applyFont="1" applyBorder="1" applyAlignment="1">
      <alignment horizontal="left" vertical="center"/>
    </xf>
    <xf numFmtId="43" fontId="4" fillId="0" borderId="12" xfId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8" borderId="1" xfId="0" applyFont="1" applyFill="1" applyBorder="1"/>
    <xf numFmtId="0" fontId="4" fillId="8" borderId="4" xfId="0" applyFont="1" applyFill="1" applyBorder="1" applyAlignment="1">
      <alignment horizontal="left"/>
    </xf>
    <xf numFmtId="4" fontId="4" fillId="8" borderId="1" xfId="0" applyNumberFormat="1" applyFont="1" applyFill="1" applyBorder="1" applyAlignment="1">
      <alignment horizontal="center" vertical="center"/>
    </xf>
    <xf numFmtId="43" fontId="4" fillId="8" borderId="13" xfId="1" applyFont="1" applyFill="1" applyBorder="1" applyAlignment="1">
      <alignment horizontal="left"/>
    </xf>
    <xf numFmtId="43" fontId="4" fillId="8" borderId="29" xfId="1" applyFont="1" applyFill="1" applyBorder="1" applyAlignment="1">
      <alignment horizontal="left"/>
    </xf>
    <xf numFmtId="43" fontId="4" fillId="8" borderId="12" xfId="1" applyFont="1" applyFill="1" applyBorder="1" applyAlignment="1">
      <alignment horizontal="left"/>
    </xf>
    <xf numFmtId="14" fontId="4" fillId="8" borderId="1" xfId="1" applyNumberFormat="1" applyFont="1" applyFill="1" applyBorder="1"/>
    <xf numFmtId="0" fontId="4" fillId="8" borderId="7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4" fontId="4" fillId="0" borderId="1" xfId="1" applyNumberFormat="1" applyFont="1" applyFill="1" applyBorder="1" applyAlignment="1">
      <alignment horizontal="center" vertical="center"/>
    </xf>
    <xf numFmtId="43" fontId="4" fillId="8" borderId="12" xfId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43" fontId="4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right" vertical="center"/>
    </xf>
    <xf numFmtId="14" fontId="4" fillId="0" borderId="0" xfId="1" applyNumberFormat="1" applyFont="1" applyAlignment="1">
      <alignment horizontal="right" vertical="center"/>
    </xf>
    <xf numFmtId="0" fontId="7" fillId="0" borderId="1" xfId="2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0" fontId="11" fillId="0" borderId="1" xfId="2" applyNumberFormat="1" applyFont="1" applyBorder="1" applyAlignment="1">
      <alignment horizontal="center" vertical="center"/>
    </xf>
    <xf numFmtId="43" fontId="11" fillId="0" borderId="1" xfId="1" applyFont="1" applyBorder="1" applyAlignment="1">
      <alignment vertical="center"/>
    </xf>
    <xf numFmtId="14" fontId="11" fillId="0" borderId="1" xfId="1" applyNumberFormat="1" applyFont="1" applyBorder="1" applyAlignment="1">
      <alignment horizontal="right" vertical="center"/>
    </xf>
    <xf numFmtId="0" fontId="7" fillId="2" borderId="1" xfId="2" applyNumberFormat="1" applyFont="1" applyFill="1" applyBorder="1" applyAlignment="1">
      <alignment horizontal="center" vertical="center"/>
    </xf>
    <xf numFmtId="14" fontId="4" fillId="2" borderId="1" xfId="1" applyNumberFormat="1" applyFont="1" applyFill="1" applyBorder="1" applyAlignment="1">
      <alignment horizontal="right" vertical="center"/>
    </xf>
    <xf numFmtId="43" fontId="7" fillId="0" borderId="1" xfId="1" applyFont="1" applyBorder="1" applyAlignment="1">
      <alignment vertical="center"/>
    </xf>
    <xf numFmtId="0" fontId="7" fillId="0" borderId="1" xfId="2" applyNumberFormat="1" applyFont="1" applyFill="1" applyBorder="1" applyAlignment="1">
      <alignment horizontal="center" vertical="center"/>
    </xf>
    <xf numFmtId="43" fontId="7" fillId="0" borderId="1" xfId="1" applyFont="1" applyFill="1" applyBorder="1" applyAlignment="1">
      <alignment vertical="center"/>
    </xf>
    <xf numFmtId="43" fontId="4" fillId="0" borderId="12" xfId="1" applyFont="1" applyFill="1" applyBorder="1" applyAlignment="1">
      <alignment horizontal="right" vertical="center"/>
    </xf>
    <xf numFmtId="43" fontId="4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3" fillId="0" borderId="0" xfId="1" applyFont="1" applyAlignment="1">
      <alignment horizontal="center" vertical="center"/>
    </xf>
    <xf numFmtId="43" fontId="4" fillId="0" borderId="0" xfId="1" applyFont="1" applyAlignment="1">
      <alignment horizontal="right" vertical="center"/>
    </xf>
    <xf numFmtId="43" fontId="3" fillId="0" borderId="0" xfId="1" applyFont="1" applyAlignment="1">
      <alignment vertical="center"/>
    </xf>
    <xf numFmtId="0" fontId="4" fillId="0" borderId="7" xfId="0" applyFont="1" applyBorder="1" applyAlignment="1">
      <alignment vertical="center" wrapText="1"/>
    </xf>
    <xf numFmtId="43" fontId="4" fillId="0" borderId="4" xfId="1" applyFont="1" applyBorder="1" applyAlignment="1">
      <alignment horizontal="center" vertical="center"/>
    </xf>
    <xf numFmtId="43" fontId="4" fillId="8" borderId="4" xfId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7" fillId="8" borderId="1" xfId="2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19" xfId="2" applyNumberFormat="1" applyFont="1" applyBorder="1" applyAlignment="1">
      <alignment horizontal="center" vertical="center"/>
    </xf>
    <xf numFmtId="43" fontId="4" fillId="0" borderId="14" xfId="1" applyFont="1" applyBorder="1" applyAlignment="1">
      <alignment horizontal="right" vertical="center"/>
    </xf>
    <xf numFmtId="43" fontId="4" fillId="0" borderId="19" xfId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 wrapText="1"/>
    </xf>
    <xf numFmtId="14" fontId="4" fillId="9" borderId="1" xfId="0" applyNumberFormat="1" applyFont="1" applyFill="1" applyBorder="1" applyAlignment="1">
      <alignment vertical="center"/>
    </xf>
    <xf numFmtId="4" fontId="4" fillId="9" borderId="1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43" fontId="4" fillId="9" borderId="12" xfId="1" applyFont="1" applyFill="1" applyBorder="1" applyAlignment="1">
      <alignment horizontal="center" vertical="center"/>
    </xf>
    <xf numFmtId="43" fontId="4" fillId="9" borderId="13" xfId="1" applyFont="1" applyFill="1" applyBorder="1" applyAlignment="1">
      <alignment horizontal="left" vertical="center"/>
    </xf>
    <xf numFmtId="43" fontId="4" fillId="9" borderId="29" xfId="1" applyFont="1" applyFill="1" applyBorder="1" applyAlignment="1">
      <alignment vertical="center"/>
    </xf>
    <xf numFmtId="43" fontId="4" fillId="9" borderId="12" xfId="1" applyFont="1" applyFill="1" applyBorder="1" applyAlignment="1">
      <alignment vertical="center"/>
    </xf>
    <xf numFmtId="14" fontId="4" fillId="9" borderId="1" xfId="1" applyNumberFormat="1" applyFont="1" applyFill="1" applyBorder="1" applyAlignment="1">
      <alignment vertical="center"/>
    </xf>
    <xf numFmtId="14" fontId="4" fillId="9" borderId="2" xfId="1" applyNumberFormat="1" applyFont="1" applyFill="1" applyBorder="1" applyAlignment="1">
      <alignment vertical="center"/>
    </xf>
    <xf numFmtId="14" fontId="4" fillId="9" borderId="1" xfId="1" applyNumberFormat="1" applyFont="1" applyFill="1" applyBorder="1"/>
    <xf numFmtId="0" fontId="4" fillId="9" borderId="4" xfId="0" applyFont="1" applyFill="1" applyBorder="1" applyAlignment="1">
      <alignment horizontal="left" vertical="center"/>
    </xf>
    <xf numFmtId="43" fontId="4" fillId="9" borderId="35" xfId="1" applyFont="1" applyFill="1" applyBorder="1" applyAlignment="1">
      <alignment horizontal="left" vertical="center"/>
    </xf>
    <xf numFmtId="0" fontId="7" fillId="9" borderId="2" xfId="2" applyNumberFormat="1" applyFont="1" applyFill="1" applyBorder="1" applyAlignment="1">
      <alignment horizontal="center" vertical="center"/>
    </xf>
    <xf numFmtId="43" fontId="3" fillId="5" borderId="1" xfId="1" applyFont="1" applyFill="1" applyBorder="1" applyAlignment="1">
      <alignment horizontal="center" vertical="center"/>
    </xf>
    <xf numFmtId="43" fontId="3" fillId="5" borderId="1" xfId="1" applyFont="1" applyFill="1" applyBorder="1" applyAlignment="1">
      <alignment horizontal="center"/>
    </xf>
    <xf numFmtId="0" fontId="4" fillId="0" borderId="7" xfId="0" applyFont="1" applyBorder="1"/>
    <xf numFmtId="0" fontId="4" fillId="0" borderId="50" xfId="0" applyFont="1" applyBorder="1"/>
    <xf numFmtId="43" fontId="4" fillId="0" borderId="5" xfId="0" applyNumberFormat="1" applyFont="1" applyBorder="1"/>
    <xf numFmtId="43" fontId="4" fillId="0" borderId="51" xfId="0" applyNumberFormat="1" applyFont="1" applyBorder="1"/>
    <xf numFmtId="0" fontId="3" fillId="0" borderId="2" xfId="0" applyFont="1" applyBorder="1"/>
    <xf numFmtId="0" fontId="3" fillId="5" borderId="3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/>
    </xf>
    <xf numFmtId="43" fontId="3" fillId="10" borderId="12" xfId="1" applyFont="1" applyFill="1" applyBorder="1" applyAlignment="1">
      <alignment horizontal="center" vertical="center" wrapText="1"/>
    </xf>
    <xf numFmtId="43" fontId="3" fillId="10" borderId="3" xfId="1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/>
    </xf>
    <xf numFmtId="43" fontId="3" fillId="10" borderId="41" xfId="1" applyFont="1" applyFill="1" applyBorder="1" applyAlignment="1">
      <alignment vertical="center"/>
    </xf>
    <xf numFmtId="0" fontId="3" fillId="10" borderId="18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NumberFormat="1" applyFont="1" applyBorder="1" applyAlignment="1">
      <alignment horizontal="left" vertical="center"/>
    </xf>
    <xf numFmtId="0" fontId="7" fillId="0" borderId="4" xfId="2" applyNumberFormat="1" applyFont="1" applyFill="1" applyBorder="1" applyAlignment="1">
      <alignment horizontal="left" vertical="center"/>
    </xf>
    <xf numFmtId="43" fontId="7" fillId="0" borderId="12" xfId="1" applyFont="1" applyBorder="1" applyAlignment="1">
      <alignment vertical="center"/>
    </xf>
    <xf numFmtId="43" fontId="7" fillId="9" borderId="12" xfId="1" applyFont="1" applyFill="1" applyBorder="1" applyAlignment="1">
      <alignment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1" xfId="0" applyFont="1" applyFill="1" applyBorder="1"/>
    <xf numFmtId="0" fontId="4" fillId="11" borderId="1" xfId="0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 vertical="center"/>
    </xf>
    <xf numFmtId="43" fontId="4" fillId="11" borderId="12" xfId="1" applyFont="1" applyFill="1" applyBorder="1" applyAlignment="1">
      <alignment horizontal="center" vertical="center"/>
    </xf>
    <xf numFmtId="43" fontId="4" fillId="11" borderId="13" xfId="1" applyFont="1" applyFill="1" applyBorder="1" applyAlignment="1">
      <alignment horizontal="left"/>
    </xf>
    <xf numFmtId="43" fontId="4" fillId="11" borderId="29" xfId="1" applyFont="1" applyFill="1" applyBorder="1" applyAlignment="1">
      <alignment horizontal="left"/>
    </xf>
    <xf numFmtId="43" fontId="4" fillId="11" borderId="12" xfId="1" applyFont="1" applyFill="1" applyBorder="1" applyAlignment="1">
      <alignment horizontal="left"/>
    </xf>
    <xf numFmtId="14" fontId="4" fillId="11" borderId="1" xfId="1" applyNumberFormat="1" applyFont="1" applyFill="1" applyBorder="1"/>
    <xf numFmtId="0" fontId="4" fillId="11" borderId="7" xfId="0" applyFont="1" applyFill="1" applyBorder="1" applyAlignment="1">
      <alignment horizontal="right"/>
    </xf>
    <xf numFmtId="43" fontId="4" fillId="11" borderId="1" xfId="1" applyFont="1" applyFill="1" applyBorder="1" applyAlignment="1">
      <alignment horizontal="right"/>
    </xf>
    <xf numFmtId="0" fontId="4" fillId="11" borderId="4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center" vertical="center"/>
    </xf>
    <xf numFmtId="43" fontId="4" fillId="11" borderId="4" xfId="1" applyFont="1" applyFill="1" applyBorder="1" applyAlignment="1">
      <alignment horizontal="center" vertical="center"/>
    </xf>
    <xf numFmtId="43" fontId="4" fillId="11" borderId="12" xfId="1" applyFont="1" applyFill="1" applyBorder="1"/>
    <xf numFmtId="43" fontId="4" fillId="9" borderId="12" xfId="1" applyFont="1" applyFill="1" applyBorder="1" applyAlignment="1">
      <alignment horizontal="right" vertical="center"/>
    </xf>
    <xf numFmtId="0" fontId="7" fillId="9" borderId="13" xfId="0" applyFont="1" applyFill="1" applyBorder="1" applyAlignment="1">
      <alignment horizontal="right" vertical="center"/>
    </xf>
    <xf numFmtId="14" fontId="4" fillId="0" borderId="1" xfId="1" applyNumberFormat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2" xfId="1" applyNumberFormat="1" applyFont="1" applyBorder="1" applyAlignment="1">
      <alignment horizontal="left"/>
    </xf>
    <xf numFmtId="0" fontId="4" fillId="9" borderId="2" xfId="1" applyNumberFormat="1" applyFont="1" applyFill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4" fillId="11" borderId="19" xfId="0" applyFont="1" applyFill="1" applyBorder="1" applyAlignment="1">
      <alignment horizontal="left"/>
    </xf>
    <xf numFmtId="0" fontId="4" fillId="8" borderId="19" xfId="0" applyFont="1" applyFill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3" xfId="1" applyNumberFormat="1" applyFont="1" applyBorder="1" applyAlignment="1">
      <alignment horizontal="left"/>
    </xf>
    <xf numFmtId="0" fontId="4" fillId="5" borderId="41" xfId="0" applyFont="1" applyFill="1" applyBorder="1" applyAlignment="1">
      <alignment horizontal="left"/>
    </xf>
    <xf numFmtId="0" fontId="4" fillId="0" borderId="33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11" borderId="1" xfId="0" applyFont="1" applyFill="1" applyBorder="1" applyAlignment="1">
      <alignment horizontal="right"/>
    </xf>
    <xf numFmtId="0" fontId="4" fillId="8" borderId="1" xfId="0" applyFont="1" applyFill="1" applyBorder="1" applyAlignment="1">
      <alignment horizontal="right"/>
    </xf>
    <xf numFmtId="0" fontId="4" fillId="5" borderId="1" xfId="0" applyFont="1" applyFill="1" applyBorder="1"/>
    <xf numFmtId="0" fontId="0" fillId="0" borderId="0" xfId="0" applyAlignment="1">
      <alignment wrapText="1"/>
    </xf>
    <xf numFmtId="0" fontId="4" fillId="9" borderId="1" xfId="0" applyFont="1" applyFill="1" applyBorder="1" applyAlignment="1">
      <alignment horizontal="right" vertical="center"/>
    </xf>
    <xf numFmtId="43" fontId="7" fillId="9" borderId="1" xfId="1" applyFont="1" applyFill="1" applyBorder="1" applyAlignment="1">
      <alignment vertical="center"/>
    </xf>
    <xf numFmtId="0" fontId="7" fillId="9" borderId="1" xfId="0" applyFont="1" applyFill="1" applyBorder="1" applyAlignment="1">
      <alignment horizontal="right" vertical="center"/>
    </xf>
    <xf numFmtId="43" fontId="4" fillId="9" borderId="1" xfId="1" applyFont="1" applyFill="1" applyBorder="1" applyAlignment="1">
      <alignment horizontal="right" vertical="center"/>
    </xf>
    <xf numFmtId="0" fontId="7" fillId="0" borderId="1" xfId="2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43" fontId="7" fillId="0" borderId="1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43" fontId="11" fillId="0" borderId="1" xfId="1" applyFont="1" applyFill="1" applyBorder="1" applyAlignment="1">
      <alignment vertical="center"/>
    </xf>
    <xf numFmtId="43" fontId="3" fillId="5" borderId="1" xfId="1" applyFont="1" applyFill="1" applyBorder="1" applyAlignment="1">
      <alignment vertical="center"/>
    </xf>
    <xf numFmtId="43" fontId="3" fillId="10" borderId="1" xfId="1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43" fontId="11" fillId="9" borderId="12" xfId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43" fontId="4" fillId="8" borderId="1" xfId="1" applyFont="1" applyFill="1" applyBorder="1" applyAlignment="1">
      <alignment horizontal="right"/>
    </xf>
    <xf numFmtId="43" fontId="4" fillId="5" borderId="1" xfId="1" applyFont="1" applyFill="1" applyBorder="1"/>
    <xf numFmtId="43" fontId="7" fillId="0" borderId="4" xfId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3" fontId="11" fillId="0" borderId="0" xfId="1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2" applyNumberFormat="1" applyFont="1" applyFill="1" applyBorder="1" applyAlignment="1">
      <alignment horizontal="left" vertical="center"/>
    </xf>
    <xf numFmtId="0" fontId="7" fillId="0" borderId="4" xfId="2" applyNumberFormat="1" applyFont="1" applyFill="1" applyBorder="1" applyAlignment="1">
      <alignment horizontal="center" vertical="center"/>
    </xf>
    <xf numFmtId="4" fontId="4" fillId="0" borderId="0" xfId="0" applyNumberFormat="1" applyFont="1"/>
    <xf numFmtId="0" fontId="5" fillId="5" borderId="1" xfId="0" applyFont="1" applyFill="1" applyBorder="1" applyAlignment="1">
      <alignment horizontal="center" vertical="center"/>
    </xf>
    <xf numFmtId="10" fontId="0" fillId="0" borderId="0" xfId="0" applyNumberFormat="1" applyAlignment="1">
      <alignment horizontal="right"/>
    </xf>
    <xf numFmtId="43" fontId="12" fillId="0" borderId="0" xfId="1" applyFont="1" applyAlignment="1"/>
    <xf numFmtId="10" fontId="0" fillId="0" borderId="0" xfId="0" applyNumberFormat="1"/>
    <xf numFmtId="0" fontId="12" fillId="0" borderId="0" xfId="0" applyFont="1"/>
    <xf numFmtId="10" fontId="0" fillId="0" borderId="0" xfId="4" applyNumberFormat="1" applyFont="1" applyFill="1"/>
    <xf numFmtId="43" fontId="4" fillId="0" borderId="6" xfId="1" applyFont="1" applyBorder="1" applyAlignment="1">
      <alignment horizontal="right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10" fontId="3" fillId="5" borderId="8" xfId="4" applyNumberFormat="1" applyFont="1" applyFill="1" applyBorder="1" applyAlignment="1">
      <alignment horizontal="center"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43" fontId="0" fillId="0" borderId="0" xfId="1" applyFont="1" applyFill="1"/>
    <xf numFmtId="0" fontId="7" fillId="0" borderId="4" xfId="0" applyFont="1" applyBorder="1" applyAlignment="1">
      <alignment vertical="center"/>
    </xf>
    <xf numFmtId="14" fontId="7" fillId="0" borderId="1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43" fontId="7" fillId="0" borderId="1" xfId="1" applyFont="1" applyBorder="1"/>
    <xf numFmtId="14" fontId="7" fillId="0" borderId="13" xfId="1" applyNumberFormat="1" applyFont="1" applyFill="1" applyBorder="1" applyAlignment="1">
      <alignment horizontal="right" vertical="center"/>
    </xf>
    <xf numFmtId="14" fontId="7" fillId="0" borderId="13" xfId="1" applyNumberFormat="1" applyFont="1" applyBorder="1" applyAlignment="1">
      <alignment horizontal="right" vertical="center"/>
    </xf>
    <xf numFmtId="14" fontId="7" fillId="9" borderId="13" xfId="1" applyNumberFormat="1" applyFont="1" applyFill="1" applyBorder="1" applyAlignment="1">
      <alignment horizontal="right" vertical="center"/>
    </xf>
    <xf numFmtId="43" fontId="7" fillId="9" borderId="13" xfId="0" applyNumberFormat="1" applyFont="1" applyFill="1" applyBorder="1" applyAlignment="1">
      <alignment horizontal="right" vertical="center"/>
    </xf>
    <xf numFmtId="43" fontId="7" fillId="0" borderId="12" xfId="1" applyFont="1" applyFill="1" applyBorder="1" applyAlignment="1">
      <alignment vertical="center"/>
    </xf>
    <xf numFmtId="14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0" fontId="7" fillId="9" borderId="1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/>
    </xf>
    <xf numFmtId="14" fontId="7" fillId="9" borderId="1" xfId="0" applyNumberFormat="1" applyFont="1" applyFill="1" applyBorder="1" applyAlignment="1">
      <alignment horizontal="center" vertical="center"/>
    </xf>
    <xf numFmtId="14" fontId="7" fillId="9" borderId="13" xfId="0" applyNumberFormat="1" applyFont="1" applyFill="1" applyBorder="1" applyAlignment="1">
      <alignment horizontal="center" vertical="center"/>
    </xf>
    <xf numFmtId="43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43" fontId="4" fillId="0" borderId="0" xfId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49" xfId="0" applyFont="1" applyBorder="1" applyAlignment="1">
      <alignment vertical="center"/>
    </xf>
    <xf numFmtId="43" fontId="4" fillId="0" borderId="49" xfId="1" applyFont="1" applyBorder="1" applyAlignment="1">
      <alignment vertical="center"/>
    </xf>
    <xf numFmtId="0" fontId="4" fillId="0" borderId="49" xfId="0" applyFont="1" applyBorder="1" applyAlignment="1">
      <alignment vertical="center" wrapText="1"/>
    </xf>
    <xf numFmtId="0" fontId="4" fillId="0" borderId="47" xfId="0" applyFont="1" applyBorder="1" applyAlignment="1">
      <alignment vertical="center"/>
    </xf>
    <xf numFmtId="43" fontId="4" fillId="0" borderId="47" xfId="1" applyFont="1" applyBorder="1" applyAlignment="1">
      <alignment vertical="center"/>
    </xf>
    <xf numFmtId="0" fontId="4" fillId="0" borderId="47" xfId="0" applyFont="1" applyBorder="1" applyAlignment="1">
      <alignment vertical="center" wrapText="1"/>
    </xf>
    <xf numFmtId="0" fontId="4" fillId="0" borderId="52" xfId="0" applyFont="1" applyBorder="1" applyAlignment="1">
      <alignment vertical="center"/>
    </xf>
    <xf numFmtId="43" fontId="4" fillId="0" borderId="52" xfId="1" applyFont="1" applyBorder="1" applyAlignment="1">
      <alignment vertical="center"/>
    </xf>
    <xf numFmtId="0" fontId="4" fillId="0" borderId="52" xfId="0" applyFont="1" applyBorder="1" applyAlignment="1">
      <alignment vertical="center" wrapText="1"/>
    </xf>
    <xf numFmtId="43" fontId="3" fillId="0" borderId="0" xfId="1" applyFont="1" applyBorder="1" applyAlignment="1">
      <alignment vertical="center"/>
    </xf>
    <xf numFmtId="43" fontId="4" fillId="0" borderId="49" xfId="0" applyNumberFormat="1" applyFont="1" applyBorder="1" applyAlignment="1">
      <alignment vertical="center"/>
    </xf>
    <xf numFmtId="0" fontId="4" fillId="0" borderId="49" xfId="2" applyNumberFormat="1" applyFont="1" applyFill="1" applyBorder="1" applyAlignment="1">
      <alignment horizontal="left" vertical="center"/>
    </xf>
    <xf numFmtId="43" fontId="4" fillId="0" borderId="47" xfId="0" applyNumberFormat="1" applyFont="1" applyBorder="1" applyAlignment="1">
      <alignment vertical="center"/>
    </xf>
    <xf numFmtId="0" fontId="4" fillId="0" borderId="47" xfId="2" applyNumberFormat="1" applyFont="1" applyFill="1" applyBorder="1" applyAlignment="1">
      <alignment horizontal="left" vertical="center"/>
    </xf>
    <xf numFmtId="43" fontId="4" fillId="0" borderId="52" xfId="0" applyNumberFormat="1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43" fontId="4" fillId="0" borderId="46" xfId="0" applyNumberFormat="1" applyFont="1" applyBorder="1" applyAlignment="1">
      <alignment vertical="center"/>
    </xf>
    <xf numFmtId="0" fontId="4" fillId="0" borderId="52" xfId="2" applyNumberFormat="1" applyFont="1" applyFill="1" applyBorder="1" applyAlignment="1">
      <alignment horizontal="left" vertical="center"/>
    </xf>
    <xf numFmtId="43" fontId="4" fillId="0" borderId="2" xfId="1" applyFont="1" applyBorder="1" applyAlignment="1">
      <alignment horizontal="right" vertical="center"/>
    </xf>
    <xf numFmtId="43" fontId="4" fillId="0" borderId="3" xfId="1" applyFont="1" applyBorder="1" applyAlignment="1">
      <alignment horizontal="left" vertical="center"/>
    </xf>
    <xf numFmtId="0" fontId="0" fillId="0" borderId="13" xfId="0" applyBorder="1" applyAlignment="1">
      <alignment wrapText="1"/>
    </xf>
    <xf numFmtId="4" fontId="4" fillId="0" borderId="49" xfId="0" applyNumberFormat="1" applyFont="1" applyBorder="1" applyAlignment="1">
      <alignment vertical="center"/>
    </xf>
    <xf numFmtId="4" fontId="4" fillId="0" borderId="47" xfId="0" applyNumberFormat="1" applyFont="1" applyBorder="1" applyAlignment="1">
      <alignment vertical="center"/>
    </xf>
    <xf numFmtId="4" fontId="4" fillId="0" borderId="52" xfId="0" applyNumberFormat="1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43" fontId="4" fillId="0" borderId="48" xfId="0" applyNumberFormat="1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43" fontId="3" fillId="4" borderId="1" xfId="1" applyFont="1" applyFill="1" applyBorder="1" applyAlignment="1">
      <alignment vertical="center"/>
    </xf>
    <xf numFmtId="0" fontId="14" fillId="12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 wrapText="1"/>
    </xf>
    <xf numFmtId="43" fontId="3" fillId="4" borderId="1" xfId="0" applyNumberFormat="1" applyFont="1" applyFill="1" applyBorder="1" applyAlignment="1">
      <alignment vertical="center"/>
    </xf>
    <xf numFmtId="0" fontId="3" fillId="13" borderId="2" xfId="0" applyFont="1" applyFill="1" applyBorder="1" applyAlignment="1">
      <alignment vertical="center"/>
    </xf>
    <xf numFmtId="43" fontId="3" fillId="13" borderId="1" xfId="0" applyNumberFormat="1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43" fontId="4" fillId="0" borderId="1" xfId="1" applyFont="1" applyBorder="1" applyAlignment="1">
      <alignment horizontal="left" wrapText="1"/>
    </xf>
    <xf numFmtId="43" fontId="14" fillId="12" borderId="1" xfId="1" applyFont="1" applyFill="1" applyBorder="1" applyAlignment="1">
      <alignment horizontal="center" vertical="center" wrapText="1"/>
    </xf>
    <xf numFmtId="43" fontId="14" fillId="12" borderId="1" xfId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/>
    </xf>
    <xf numFmtId="43" fontId="3" fillId="13" borderId="1" xfId="1" applyFont="1" applyFill="1" applyBorder="1" applyAlignment="1">
      <alignment horizontal="center"/>
    </xf>
    <xf numFmtId="0" fontId="4" fillId="0" borderId="48" xfId="2" applyNumberFormat="1" applyFont="1" applyFill="1" applyBorder="1" applyAlignment="1">
      <alignment horizontal="left" vertical="center"/>
    </xf>
    <xf numFmtId="0" fontId="14" fillId="12" borderId="1" xfId="0" applyFont="1" applyFill="1" applyBorder="1" applyAlignment="1">
      <alignment horizontal="center" vertical="center"/>
    </xf>
    <xf numFmtId="4" fontId="4" fillId="0" borderId="49" xfId="0" applyNumberFormat="1" applyFont="1" applyBorder="1" applyAlignment="1">
      <alignment horizontal="center" vertical="center"/>
    </xf>
    <xf numFmtId="4" fontId="4" fillId="0" borderId="47" xfId="0" applyNumberFormat="1" applyFont="1" applyBorder="1" applyAlignment="1">
      <alignment horizontal="center" vertical="center"/>
    </xf>
    <xf numFmtId="4" fontId="4" fillId="0" borderId="52" xfId="0" applyNumberFormat="1" applyFont="1" applyBorder="1" applyAlignment="1">
      <alignment horizontal="center" vertical="center"/>
    </xf>
    <xf numFmtId="0" fontId="14" fillId="12" borderId="2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43" fontId="4" fillId="0" borderId="51" xfId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3" fontId="4" fillId="0" borderId="49" xfId="0" applyNumberFormat="1" applyFont="1" applyBorder="1" applyAlignment="1">
      <alignment horizontal="center" vertical="center"/>
    </xf>
    <xf numFmtId="43" fontId="4" fillId="0" borderId="47" xfId="0" applyNumberFormat="1" applyFont="1" applyBorder="1" applyAlignment="1">
      <alignment horizontal="center" vertical="center"/>
    </xf>
    <xf numFmtId="43" fontId="4" fillId="0" borderId="48" xfId="0" applyNumberFormat="1" applyFont="1" applyBorder="1" applyAlignment="1">
      <alignment horizontal="center" vertical="center"/>
    </xf>
    <xf numFmtId="43" fontId="4" fillId="0" borderId="52" xfId="0" applyNumberFormat="1" applyFont="1" applyBorder="1" applyAlignment="1">
      <alignment horizontal="center" vertical="center"/>
    </xf>
    <xf numFmtId="43" fontId="4" fillId="0" borderId="4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3" fillId="7" borderId="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left" vertical="center"/>
    </xf>
    <xf numFmtId="0" fontId="3" fillId="5" borderId="45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10" borderId="40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43" fontId="3" fillId="5" borderId="42" xfId="1" applyFont="1" applyFill="1" applyBorder="1" applyAlignment="1">
      <alignment horizontal="center" vertical="center" wrapText="1"/>
    </xf>
    <xf numFmtId="43" fontId="3" fillId="5" borderId="37" xfId="1" applyFont="1" applyFill="1" applyBorder="1" applyAlignment="1">
      <alignment horizontal="center" vertical="center" wrapText="1"/>
    </xf>
    <xf numFmtId="43" fontId="3" fillId="5" borderId="38" xfId="1" applyFont="1" applyFill="1" applyBorder="1" applyAlignment="1">
      <alignment horizontal="center" vertical="center"/>
    </xf>
    <xf numFmtId="43" fontId="3" fillId="5" borderId="43" xfId="1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0" fontId="0" fillId="2" borderId="0" xfId="4" applyNumberFormat="1" applyFont="1" applyFill="1"/>
    <xf numFmtId="0" fontId="4" fillId="0" borderId="49" xfId="0" applyFont="1" applyBorder="1" applyAlignment="1">
      <alignment horizontal="center" vertical="center" wrapText="1"/>
    </xf>
    <xf numFmtId="14" fontId="0" fillId="0" borderId="49" xfId="0" applyNumberFormat="1" applyBorder="1"/>
    <xf numFmtId="43" fontId="0" fillId="0" borderId="49" xfId="1" applyFont="1" applyBorder="1"/>
    <xf numFmtId="10" fontId="0" fillId="0" borderId="49" xfId="0" applyNumberFormat="1" applyBorder="1" applyAlignment="1">
      <alignment horizontal="center"/>
    </xf>
    <xf numFmtId="43" fontId="0" fillId="0" borderId="49" xfId="0" applyNumberFormat="1" applyBorder="1"/>
    <xf numFmtId="0" fontId="4" fillId="0" borderId="47" xfId="0" applyFont="1" applyBorder="1" applyAlignment="1">
      <alignment horizontal="center" vertical="center" wrapText="1"/>
    </xf>
    <xf numFmtId="14" fontId="0" fillId="0" borderId="47" xfId="0" applyNumberFormat="1" applyBorder="1"/>
    <xf numFmtId="43" fontId="0" fillId="0" borderId="47" xfId="1" applyFont="1" applyBorder="1"/>
    <xf numFmtId="10" fontId="0" fillId="0" borderId="47" xfId="0" applyNumberFormat="1" applyBorder="1" applyAlignment="1">
      <alignment horizontal="center"/>
    </xf>
    <xf numFmtId="43" fontId="0" fillId="0" borderId="47" xfId="0" applyNumberFormat="1" applyBorder="1"/>
    <xf numFmtId="43" fontId="0" fillId="0" borderId="47" xfId="1" applyFont="1" applyFill="1" applyBorder="1"/>
    <xf numFmtId="0" fontId="4" fillId="0" borderId="47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14" fontId="0" fillId="0" borderId="52" xfId="0" applyNumberFormat="1" applyBorder="1"/>
    <xf numFmtId="43" fontId="0" fillId="0" borderId="52" xfId="1" applyFont="1" applyBorder="1"/>
    <xf numFmtId="10" fontId="0" fillId="0" borderId="52" xfId="0" applyNumberFormat="1" applyBorder="1" applyAlignment="1">
      <alignment horizontal="center"/>
    </xf>
    <xf numFmtId="43" fontId="0" fillId="0" borderId="52" xfId="0" applyNumberFormat="1" applyBorder="1"/>
    <xf numFmtId="43" fontId="1" fillId="0" borderId="6" xfId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vertical="center"/>
    </xf>
    <xf numFmtId="43" fontId="4" fillId="0" borderId="2" xfId="2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43" fontId="4" fillId="0" borderId="6" xfId="0" applyNumberFormat="1" applyFont="1" applyBorder="1" applyAlignment="1">
      <alignment vertical="center"/>
    </xf>
    <xf numFmtId="43" fontId="4" fillId="0" borderId="8" xfId="2" applyNumberFormat="1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43" fontId="3" fillId="6" borderId="1" xfId="0" applyNumberFormat="1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</cellXfs>
  <cellStyles count="5">
    <cellStyle name="Moeda 2" xfId="3" xr:uid="{00000000-0005-0000-0000-000000000000}"/>
    <cellStyle name="Normal" xfId="0" builtinId="0"/>
    <cellStyle name="Porcentagem" xfId="4" builtinId="5"/>
    <cellStyle name="Vírgula" xfId="1" builtinId="3"/>
    <cellStyle name="Vírgula 2" xfId="2" xr:uid="{00000000-0005-0000-0000-000003000000}"/>
  </cellStyles>
  <dxfs count="0"/>
  <tableStyles count="0" defaultTableStyle="TableStyleMedium2" defaultPivotStyle="PivotStyleLight16"/>
  <colors>
    <mruColors>
      <color rgb="FFCCCCFF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zoomScale="80" zoomScaleNormal="80" workbookViewId="0">
      <selection sqref="A1:L1"/>
    </sheetView>
  </sheetViews>
  <sheetFormatPr defaultColWidth="9.19921875" defaultRowHeight="13.15"/>
  <cols>
    <col min="1" max="1" width="9.19921875" style="4"/>
    <col min="2" max="2" width="11.265625" style="4" bestFit="1" customWidth="1"/>
    <col min="3" max="3" width="14.46484375" style="4" bestFit="1" customWidth="1"/>
    <col min="4" max="4" width="10.265625" style="4" bestFit="1" customWidth="1"/>
    <col min="5" max="5" width="13.53125" style="4" customWidth="1"/>
    <col min="6" max="12" width="9.19921875" style="4"/>
    <col min="13" max="13" width="25.53125" style="4" bestFit="1" customWidth="1"/>
    <col min="14" max="16384" width="9.19921875" style="4"/>
  </cols>
  <sheetData>
    <row r="1" spans="1:12">
      <c r="A1" s="445" t="s">
        <v>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450" t="s">
        <v>6</v>
      </c>
      <c r="G2" s="450"/>
      <c r="H2" s="450"/>
      <c r="I2" s="450"/>
      <c r="J2" s="450"/>
      <c r="K2" s="450"/>
      <c r="L2" s="450"/>
    </row>
    <row r="3" spans="1:12">
      <c r="A3" s="6">
        <v>6</v>
      </c>
      <c r="B3" s="8">
        <v>33168</v>
      </c>
      <c r="C3" s="6"/>
      <c r="D3" s="6"/>
      <c r="E3" s="73">
        <v>18250.37</v>
      </c>
      <c r="F3" s="431" t="s">
        <v>7</v>
      </c>
      <c r="G3" s="431"/>
      <c r="H3" s="431"/>
      <c r="I3" s="431"/>
      <c r="J3" s="431"/>
      <c r="K3" s="431"/>
      <c r="L3" s="432"/>
    </row>
    <row r="4" spans="1:12">
      <c r="A4" s="6">
        <v>493</v>
      </c>
      <c r="B4" s="8">
        <v>33171</v>
      </c>
      <c r="C4" s="6" t="s">
        <v>18</v>
      </c>
      <c r="D4" s="6" t="s">
        <v>19</v>
      </c>
      <c r="E4" s="73">
        <v>50000</v>
      </c>
      <c r="F4" s="431" t="s">
        <v>20</v>
      </c>
      <c r="G4" s="431"/>
      <c r="H4" s="431"/>
      <c r="I4" s="431"/>
      <c r="J4" s="431"/>
      <c r="K4" s="431"/>
      <c r="L4" s="432"/>
    </row>
    <row r="5" spans="1:12">
      <c r="A5" s="74">
        <v>539</v>
      </c>
      <c r="B5" s="75">
        <v>33197</v>
      </c>
      <c r="C5" s="74"/>
      <c r="D5" s="74"/>
      <c r="E5" s="76">
        <v>50000</v>
      </c>
      <c r="F5" s="448" t="s">
        <v>21</v>
      </c>
      <c r="G5" s="448"/>
      <c r="H5" s="448"/>
      <c r="I5" s="448"/>
      <c r="J5" s="448"/>
      <c r="K5" s="448"/>
      <c r="L5" s="449"/>
    </row>
    <row r="6" spans="1:12">
      <c r="A6" s="6">
        <v>603</v>
      </c>
      <c r="B6" s="8">
        <v>33312</v>
      </c>
      <c r="C6" s="6" t="s">
        <v>18</v>
      </c>
      <c r="D6" s="6" t="s">
        <v>53</v>
      </c>
      <c r="E6" s="73">
        <v>114015.4</v>
      </c>
      <c r="F6" s="431" t="s">
        <v>22</v>
      </c>
      <c r="G6" s="431"/>
      <c r="H6" s="431"/>
      <c r="I6" s="431"/>
      <c r="J6" s="431"/>
      <c r="K6" s="431"/>
      <c r="L6" s="432"/>
    </row>
    <row r="7" spans="1:12">
      <c r="A7" s="6">
        <v>604</v>
      </c>
      <c r="B7" s="8">
        <v>33312</v>
      </c>
      <c r="C7" s="6" t="s">
        <v>18</v>
      </c>
      <c r="D7" s="6" t="s">
        <v>54</v>
      </c>
      <c r="E7" s="73">
        <v>5984.6</v>
      </c>
      <c r="F7" s="431" t="s">
        <v>23</v>
      </c>
      <c r="G7" s="431"/>
      <c r="H7" s="431"/>
      <c r="I7" s="431"/>
      <c r="J7" s="431"/>
      <c r="K7" s="431"/>
      <c r="L7" s="432"/>
    </row>
    <row r="8" spans="1:12">
      <c r="A8" s="6">
        <v>814</v>
      </c>
      <c r="B8" s="8">
        <v>33480</v>
      </c>
      <c r="C8" s="6" t="s">
        <v>18</v>
      </c>
      <c r="D8" s="6" t="s">
        <v>31</v>
      </c>
      <c r="E8" s="73">
        <v>45173</v>
      </c>
      <c r="F8" s="431" t="s">
        <v>32</v>
      </c>
      <c r="G8" s="431"/>
      <c r="H8" s="431"/>
      <c r="I8" s="431"/>
      <c r="J8" s="431"/>
      <c r="K8" s="431"/>
      <c r="L8" s="432"/>
    </row>
    <row r="9" spans="1:12">
      <c r="A9" s="6">
        <v>816</v>
      </c>
      <c r="B9" s="8">
        <v>33473</v>
      </c>
      <c r="C9" s="6" t="s">
        <v>18</v>
      </c>
      <c r="D9" s="6" t="s">
        <v>31</v>
      </c>
      <c r="E9" s="73">
        <v>119154</v>
      </c>
      <c r="F9" s="431" t="s">
        <v>33</v>
      </c>
      <c r="G9" s="431"/>
      <c r="H9" s="431"/>
      <c r="I9" s="431"/>
      <c r="J9" s="431"/>
      <c r="K9" s="431"/>
      <c r="L9" s="432"/>
    </row>
    <row r="10" spans="1:12">
      <c r="A10" s="6">
        <v>955</v>
      </c>
      <c r="B10" s="8">
        <v>33567</v>
      </c>
      <c r="C10" s="6" t="s">
        <v>35</v>
      </c>
      <c r="D10" s="77">
        <v>47001</v>
      </c>
      <c r="E10" s="73">
        <v>243698.16</v>
      </c>
      <c r="F10" s="431" t="s">
        <v>36</v>
      </c>
      <c r="G10" s="431"/>
      <c r="H10" s="431"/>
      <c r="I10" s="431"/>
      <c r="J10" s="431"/>
      <c r="K10" s="431"/>
      <c r="L10" s="432"/>
    </row>
    <row r="11" spans="1:12">
      <c r="A11" s="74">
        <v>968</v>
      </c>
      <c r="B11" s="75">
        <v>33480</v>
      </c>
      <c r="C11" s="74" t="s">
        <v>18</v>
      </c>
      <c r="D11" s="74" t="s">
        <v>31</v>
      </c>
      <c r="E11" s="76">
        <v>135408</v>
      </c>
      <c r="F11" s="448" t="s">
        <v>37</v>
      </c>
      <c r="G11" s="448"/>
      <c r="H11" s="448"/>
      <c r="I11" s="448"/>
      <c r="J11" s="448"/>
      <c r="K11" s="448"/>
      <c r="L11" s="449"/>
    </row>
    <row r="12" spans="1:12">
      <c r="A12" s="74">
        <v>1204</v>
      </c>
      <c r="B12" s="75">
        <v>33750</v>
      </c>
      <c r="C12" s="74"/>
      <c r="D12" s="74">
        <v>33331</v>
      </c>
      <c r="E12" s="76">
        <v>114015.4</v>
      </c>
      <c r="F12" s="448" t="s">
        <v>38</v>
      </c>
      <c r="G12" s="448"/>
      <c r="H12" s="448"/>
      <c r="I12" s="448"/>
      <c r="J12" s="448"/>
      <c r="K12" s="448"/>
      <c r="L12" s="449"/>
    </row>
    <row r="13" spans="1:12">
      <c r="A13" s="6">
        <v>1245</v>
      </c>
      <c r="B13" s="8">
        <v>33815</v>
      </c>
      <c r="C13" s="6" t="s">
        <v>18</v>
      </c>
      <c r="D13" s="6" t="s">
        <v>51</v>
      </c>
      <c r="E13" s="73">
        <v>24200000</v>
      </c>
      <c r="F13" s="431" t="s">
        <v>39</v>
      </c>
      <c r="G13" s="431"/>
      <c r="H13" s="431"/>
      <c r="I13" s="431"/>
      <c r="J13" s="431"/>
      <c r="K13" s="431"/>
      <c r="L13" s="432"/>
    </row>
    <row r="14" spans="1:12">
      <c r="A14" s="6"/>
      <c r="B14" s="6"/>
      <c r="C14" s="6"/>
      <c r="D14" s="6" t="s">
        <v>40</v>
      </c>
      <c r="E14" s="73">
        <v>96800000</v>
      </c>
      <c r="F14" s="431" t="s">
        <v>39</v>
      </c>
      <c r="G14" s="431"/>
      <c r="H14" s="431"/>
      <c r="I14" s="431"/>
      <c r="J14" s="431"/>
      <c r="K14" s="431"/>
      <c r="L14" s="432"/>
    </row>
    <row r="15" spans="1:12">
      <c r="A15" s="6">
        <v>1590</v>
      </c>
      <c r="B15" s="8">
        <v>33990</v>
      </c>
      <c r="C15" s="6" t="s">
        <v>18</v>
      </c>
      <c r="D15" s="6" t="s">
        <v>51</v>
      </c>
      <c r="E15" s="73">
        <v>1022700</v>
      </c>
      <c r="F15" s="431" t="s">
        <v>50</v>
      </c>
      <c r="G15" s="431"/>
      <c r="H15" s="431"/>
      <c r="I15" s="431"/>
      <c r="J15" s="431"/>
      <c r="K15" s="431"/>
      <c r="L15" s="432"/>
    </row>
    <row r="16" spans="1:12">
      <c r="A16" s="74">
        <v>1593</v>
      </c>
      <c r="B16" s="75">
        <v>33987</v>
      </c>
      <c r="C16" s="74"/>
      <c r="D16" s="74" t="s">
        <v>51</v>
      </c>
      <c r="E16" s="76">
        <v>2044660.8</v>
      </c>
      <c r="F16" s="448" t="s">
        <v>52</v>
      </c>
      <c r="G16" s="448"/>
      <c r="H16" s="448"/>
      <c r="I16" s="448"/>
      <c r="J16" s="448"/>
      <c r="K16" s="448"/>
      <c r="L16" s="449"/>
    </row>
    <row r="17" spans="1:12">
      <c r="A17" s="74">
        <v>1657</v>
      </c>
      <c r="B17" s="75">
        <v>34123</v>
      </c>
      <c r="C17" s="74"/>
      <c r="D17" s="74" t="s">
        <v>40</v>
      </c>
      <c r="E17" s="76">
        <v>484028236.13</v>
      </c>
      <c r="F17" s="448" t="s">
        <v>52</v>
      </c>
      <c r="G17" s="448"/>
      <c r="H17" s="448"/>
      <c r="I17" s="448"/>
      <c r="J17" s="448"/>
      <c r="K17" s="448"/>
      <c r="L17" s="449"/>
    </row>
    <row r="18" spans="1:12">
      <c r="A18" s="6"/>
      <c r="B18" s="8"/>
      <c r="C18" s="6"/>
      <c r="D18" s="6"/>
      <c r="E18" s="7"/>
      <c r="F18" s="431"/>
      <c r="G18" s="431"/>
      <c r="H18" s="431"/>
      <c r="I18" s="431"/>
      <c r="J18" s="431"/>
      <c r="K18" s="431"/>
      <c r="L18" s="432"/>
    </row>
    <row r="19" spans="1:12">
      <c r="A19" s="6"/>
      <c r="B19" s="6"/>
      <c r="C19" s="6"/>
      <c r="D19" s="6"/>
      <c r="E19" s="6"/>
      <c r="F19" s="431"/>
      <c r="G19" s="431"/>
      <c r="H19" s="431"/>
      <c r="I19" s="431"/>
      <c r="J19" s="431"/>
      <c r="K19" s="431"/>
      <c r="L19" s="432"/>
    </row>
    <row r="20" spans="1:12">
      <c r="A20" s="6"/>
      <c r="B20" s="6"/>
      <c r="C20" s="6"/>
      <c r="D20" s="6"/>
      <c r="E20" s="6"/>
      <c r="F20" s="431"/>
      <c r="G20" s="431"/>
      <c r="H20" s="431"/>
      <c r="I20" s="431"/>
      <c r="J20" s="431"/>
      <c r="K20" s="431"/>
      <c r="L20" s="432"/>
    </row>
    <row r="21" spans="1:12">
      <c r="A21" s="6"/>
      <c r="B21" s="6"/>
      <c r="C21" s="6"/>
      <c r="D21" s="6"/>
      <c r="E21" s="6"/>
      <c r="F21" s="431"/>
      <c r="G21" s="431"/>
      <c r="H21" s="431"/>
      <c r="I21" s="431"/>
      <c r="J21" s="431"/>
      <c r="K21" s="431"/>
      <c r="L21" s="432"/>
    </row>
    <row r="22" spans="1:12">
      <c r="A22" s="6"/>
      <c r="B22" s="6"/>
      <c r="C22" s="6"/>
      <c r="D22" s="6"/>
      <c r="E22" s="6"/>
      <c r="F22" s="431"/>
      <c r="G22" s="431"/>
      <c r="H22" s="431"/>
      <c r="I22" s="431"/>
      <c r="J22" s="431"/>
      <c r="K22" s="431"/>
      <c r="L22" s="432"/>
    </row>
    <row r="23" spans="1:12">
      <c r="A23" s="6"/>
      <c r="B23" s="6"/>
      <c r="C23" s="6"/>
      <c r="D23" s="6"/>
      <c r="E23" s="6"/>
      <c r="F23" s="431"/>
      <c r="G23" s="431"/>
      <c r="H23" s="431"/>
      <c r="I23" s="431"/>
      <c r="J23" s="431"/>
      <c r="K23" s="431"/>
      <c r="L23" s="432"/>
    </row>
    <row r="24" spans="1:12">
      <c r="A24" s="6"/>
      <c r="B24" s="6"/>
      <c r="C24" s="6"/>
      <c r="D24" s="6"/>
      <c r="E24" s="6"/>
      <c r="F24" s="431"/>
      <c r="G24" s="431"/>
      <c r="H24" s="431"/>
      <c r="I24" s="431"/>
      <c r="J24" s="431"/>
      <c r="K24" s="431"/>
      <c r="L24" s="432"/>
    </row>
    <row r="25" spans="1:12">
      <c r="A25" s="6"/>
      <c r="B25" s="6"/>
      <c r="C25" s="6"/>
      <c r="D25" s="6"/>
      <c r="E25" s="6"/>
      <c r="F25" s="431"/>
      <c r="G25" s="431"/>
      <c r="H25" s="431"/>
      <c r="I25" s="431"/>
      <c r="J25" s="431"/>
      <c r="K25" s="431"/>
      <c r="L25" s="432"/>
    </row>
    <row r="26" spans="1:12">
      <c r="A26" s="6"/>
      <c r="B26" s="6"/>
      <c r="C26" s="6"/>
      <c r="D26" s="6"/>
      <c r="E26" s="6"/>
      <c r="F26" s="431"/>
      <c r="G26" s="431"/>
      <c r="H26" s="431"/>
      <c r="I26" s="431"/>
      <c r="J26" s="431"/>
      <c r="K26" s="431"/>
      <c r="L26" s="432"/>
    </row>
    <row r="27" spans="1:12">
      <c r="A27" s="6"/>
      <c r="B27" s="6"/>
      <c r="C27" s="6"/>
      <c r="D27" s="6"/>
      <c r="E27" s="6"/>
      <c r="F27" s="431"/>
      <c r="G27" s="431"/>
      <c r="H27" s="431"/>
      <c r="I27" s="431"/>
      <c r="J27" s="431"/>
      <c r="K27" s="431"/>
      <c r="L27" s="432"/>
    </row>
    <row r="28" spans="1:12">
      <c r="A28" s="6"/>
      <c r="B28" s="6"/>
      <c r="C28" s="6"/>
      <c r="D28" s="6"/>
      <c r="E28" s="6"/>
      <c r="F28" s="431"/>
      <c r="G28" s="431"/>
      <c r="H28" s="431"/>
      <c r="I28" s="431"/>
      <c r="J28" s="431"/>
      <c r="K28" s="431"/>
      <c r="L28" s="432"/>
    </row>
    <row r="29" spans="1:12">
      <c r="A29" s="6"/>
      <c r="B29" s="6"/>
      <c r="C29" s="6"/>
      <c r="D29" s="6"/>
      <c r="E29" s="6"/>
      <c r="F29" s="430"/>
      <c r="G29" s="431"/>
      <c r="H29" s="431"/>
      <c r="I29" s="431"/>
      <c r="J29" s="431"/>
      <c r="K29" s="431"/>
      <c r="L29" s="432"/>
    </row>
    <row r="30" spans="1:12">
      <c r="A30" s="6"/>
      <c r="B30" s="6"/>
      <c r="C30" s="6"/>
      <c r="D30" s="6"/>
      <c r="E30" s="6"/>
      <c r="F30" s="430"/>
      <c r="G30" s="431"/>
      <c r="H30" s="431"/>
      <c r="I30" s="431"/>
      <c r="J30" s="431"/>
      <c r="K30" s="431"/>
      <c r="L30" s="432"/>
    </row>
    <row r="31" spans="1:12">
      <c r="A31" s="6"/>
      <c r="B31" s="6"/>
      <c r="C31" s="6"/>
      <c r="D31" s="6"/>
      <c r="E31" s="6"/>
      <c r="F31" s="430"/>
      <c r="G31" s="431"/>
      <c r="H31" s="431"/>
      <c r="I31" s="431"/>
      <c r="J31" s="431"/>
      <c r="K31" s="431"/>
      <c r="L31" s="432"/>
    </row>
    <row r="32" spans="1:12">
      <c r="A32" s="6"/>
      <c r="B32" s="6"/>
      <c r="C32" s="6"/>
      <c r="D32" s="6"/>
      <c r="E32" s="6"/>
      <c r="F32" s="430"/>
      <c r="G32" s="431"/>
      <c r="H32" s="431"/>
      <c r="I32" s="431"/>
      <c r="J32" s="431"/>
      <c r="K32" s="431"/>
      <c r="L32" s="432"/>
    </row>
    <row r="33" spans="1:13">
      <c r="A33" s="6"/>
      <c r="B33" s="6"/>
      <c r="C33" s="6"/>
      <c r="D33" s="6"/>
      <c r="E33" s="6"/>
      <c r="F33" s="430"/>
      <c r="G33" s="431"/>
      <c r="H33" s="431"/>
      <c r="I33" s="431"/>
      <c r="J33" s="431"/>
      <c r="K33" s="431"/>
      <c r="L33" s="432"/>
    </row>
    <row r="34" spans="1:13">
      <c r="A34" s="6"/>
      <c r="B34" s="6"/>
      <c r="C34" s="6"/>
      <c r="D34" s="6"/>
      <c r="E34" s="6"/>
      <c r="F34" s="430"/>
      <c r="G34" s="431"/>
      <c r="H34" s="431"/>
      <c r="I34" s="431"/>
      <c r="J34" s="431"/>
      <c r="K34" s="431"/>
      <c r="L34" s="432"/>
    </row>
    <row r="35" spans="1:13">
      <c r="A35" s="6"/>
      <c r="B35" s="6"/>
      <c r="C35" s="6"/>
      <c r="D35" s="6"/>
      <c r="E35" s="6"/>
      <c r="F35" s="430"/>
      <c r="G35" s="431"/>
      <c r="H35" s="431"/>
      <c r="I35" s="431"/>
      <c r="J35" s="431"/>
      <c r="K35" s="431"/>
      <c r="L35" s="432"/>
    </row>
    <row r="38" spans="1:13">
      <c r="A38" s="445" t="s">
        <v>28</v>
      </c>
      <c r="B38" s="445"/>
      <c r="C38" s="445"/>
      <c r="D38" s="445"/>
      <c r="E38" s="445"/>
      <c r="F38" s="445"/>
      <c r="G38" s="445"/>
      <c r="H38" s="445"/>
      <c r="I38" s="445"/>
      <c r="J38" s="445"/>
      <c r="K38" s="445"/>
      <c r="L38" s="445"/>
    </row>
    <row r="39" spans="1:13">
      <c r="A39" s="5" t="s">
        <v>1</v>
      </c>
      <c r="B39" s="446" t="s">
        <v>8</v>
      </c>
      <c r="C39" s="446"/>
      <c r="D39" s="446"/>
      <c r="E39" s="446"/>
      <c r="F39" s="446"/>
      <c r="G39" s="446"/>
      <c r="H39" s="446" t="s">
        <v>10</v>
      </c>
      <c r="I39" s="446"/>
      <c r="J39" s="446"/>
      <c r="K39" s="446"/>
      <c r="L39" s="446"/>
    </row>
    <row r="40" spans="1:13">
      <c r="A40" s="6">
        <v>8</v>
      </c>
      <c r="B40" s="447" t="s">
        <v>9</v>
      </c>
      <c r="C40" s="447"/>
      <c r="D40" s="447"/>
      <c r="E40" s="447"/>
      <c r="F40" s="447"/>
      <c r="G40" s="447"/>
      <c r="H40" s="447" t="s">
        <v>34</v>
      </c>
      <c r="I40" s="447"/>
      <c r="J40" s="447"/>
      <c r="K40" s="447"/>
      <c r="L40" s="447"/>
    </row>
    <row r="41" spans="1:13">
      <c r="A41" s="6">
        <v>11</v>
      </c>
      <c r="B41" s="430" t="s">
        <v>11</v>
      </c>
      <c r="C41" s="431"/>
      <c r="D41" s="431"/>
      <c r="E41" s="431"/>
      <c r="F41" s="431"/>
      <c r="G41" s="432"/>
      <c r="H41" s="447" t="s">
        <v>34</v>
      </c>
      <c r="I41" s="447"/>
      <c r="J41" s="447"/>
      <c r="K41" s="447"/>
      <c r="L41" s="447"/>
    </row>
    <row r="42" spans="1:13">
      <c r="A42" s="6">
        <v>14</v>
      </c>
      <c r="B42" s="430" t="s">
        <v>12</v>
      </c>
      <c r="C42" s="431"/>
      <c r="D42" s="431"/>
      <c r="E42" s="431"/>
      <c r="F42" s="431"/>
      <c r="G42" s="432"/>
      <c r="H42" s="447" t="s">
        <v>34</v>
      </c>
      <c r="I42" s="447"/>
      <c r="J42" s="447"/>
      <c r="K42" s="447"/>
      <c r="L42" s="447"/>
    </row>
    <row r="43" spans="1:13">
      <c r="A43" s="6">
        <v>46</v>
      </c>
      <c r="B43" s="439" t="s">
        <v>13</v>
      </c>
      <c r="C43" s="440"/>
      <c r="D43" s="440"/>
      <c r="E43" s="440"/>
      <c r="F43" s="440"/>
      <c r="G43" s="441"/>
      <c r="H43" s="439" t="s">
        <v>14</v>
      </c>
      <c r="I43" s="440"/>
      <c r="J43" s="440"/>
      <c r="K43" s="440"/>
      <c r="L43" s="441"/>
      <c r="M43" s="78" t="s">
        <v>128</v>
      </c>
    </row>
    <row r="44" spans="1:13">
      <c r="A44" s="6">
        <v>47</v>
      </c>
      <c r="B44" s="442" t="s">
        <v>15</v>
      </c>
      <c r="C44" s="443"/>
      <c r="D44" s="443"/>
      <c r="E44" s="443"/>
      <c r="F44" s="443"/>
      <c r="G44" s="444"/>
      <c r="H44" s="430" t="s">
        <v>14</v>
      </c>
      <c r="I44" s="431"/>
      <c r="J44" s="431"/>
      <c r="K44" s="431"/>
      <c r="L44" s="432"/>
    </row>
    <row r="45" spans="1:13">
      <c r="A45" s="6">
        <v>48</v>
      </c>
      <c r="B45" s="442" t="s">
        <v>16</v>
      </c>
      <c r="C45" s="443"/>
      <c r="D45" s="443"/>
      <c r="E45" s="443"/>
      <c r="F45" s="443"/>
      <c r="G45" s="444"/>
      <c r="H45" s="430" t="s">
        <v>14</v>
      </c>
      <c r="I45" s="431"/>
      <c r="J45" s="431"/>
      <c r="K45" s="431"/>
      <c r="L45" s="432"/>
    </row>
    <row r="46" spans="1:13">
      <c r="A46" s="6">
        <v>50</v>
      </c>
      <c r="B46" s="439" t="s">
        <v>129</v>
      </c>
      <c r="C46" s="440"/>
      <c r="D46" s="440"/>
      <c r="E46" s="440"/>
      <c r="F46" s="440"/>
      <c r="G46" s="441"/>
      <c r="H46" s="439" t="s">
        <v>17</v>
      </c>
      <c r="I46" s="440"/>
      <c r="J46" s="440"/>
      <c r="K46" s="440"/>
      <c r="L46" s="441"/>
      <c r="M46" s="78" t="s">
        <v>130</v>
      </c>
    </row>
    <row r="47" spans="1:13">
      <c r="A47" s="6">
        <v>654</v>
      </c>
      <c r="B47" s="442" t="s">
        <v>25</v>
      </c>
      <c r="C47" s="443"/>
      <c r="D47" s="443"/>
      <c r="E47" s="443"/>
      <c r="F47" s="443"/>
      <c r="G47" s="444"/>
      <c r="H47" s="430" t="s">
        <v>24</v>
      </c>
      <c r="I47" s="431"/>
      <c r="J47" s="431"/>
      <c r="K47" s="431"/>
      <c r="L47" s="432"/>
    </row>
    <row r="48" spans="1:13">
      <c r="A48" s="6">
        <v>661</v>
      </c>
      <c r="B48" s="442" t="s">
        <v>25</v>
      </c>
      <c r="C48" s="443"/>
      <c r="D48" s="443"/>
      <c r="E48" s="443"/>
      <c r="F48" s="443"/>
      <c r="G48" s="444"/>
      <c r="H48" s="430" t="s">
        <v>24</v>
      </c>
      <c r="I48" s="431"/>
      <c r="J48" s="431"/>
      <c r="K48" s="431"/>
      <c r="L48" s="432"/>
    </row>
    <row r="49" spans="1:13">
      <c r="A49" s="6">
        <v>679</v>
      </c>
      <c r="B49" s="430" t="s">
        <v>41</v>
      </c>
      <c r="C49" s="431"/>
      <c r="D49" s="431"/>
      <c r="E49" s="431"/>
      <c r="F49" s="431"/>
      <c r="G49" s="432"/>
      <c r="H49" s="430"/>
      <c r="I49" s="431"/>
      <c r="J49" s="431"/>
      <c r="K49" s="431"/>
      <c r="L49" s="432"/>
    </row>
    <row r="50" spans="1:13">
      <c r="A50" s="6">
        <v>765</v>
      </c>
      <c r="B50" s="439" t="s">
        <v>27</v>
      </c>
      <c r="C50" s="440"/>
      <c r="D50" s="440"/>
      <c r="E50" s="440"/>
      <c r="F50" s="440"/>
      <c r="G50" s="441"/>
      <c r="H50" s="439" t="s">
        <v>26</v>
      </c>
      <c r="I50" s="440"/>
      <c r="J50" s="440"/>
      <c r="K50" s="440"/>
      <c r="L50" s="441"/>
      <c r="M50" s="78" t="s">
        <v>124</v>
      </c>
    </row>
    <row r="51" spans="1:13">
      <c r="A51" s="6">
        <v>798</v>
      </c>
      <c r="B51" s="430" t="s">
        <v>29</v>
      </c>
      <c r="C51" s="431"/>
      <c r="D51" s="431"/>
      <c r="E51" s="431"/>
      <c r="F51" s="431"/>
      <c r="G51" s="432"/>
      <c r="H51" s="430" t="s">
        <v>30</v>
      </c>
      <c r="I51" s="431"/>
      <c r="J51" s="431"/>
      <c r="K51" s="431"/>
      <c r="L51" s="432"/>
    </row>
    <row r="52" spans="1:13">
      <c r="A52" s="6">
        <v>2089</v>
      </c>
      <c r="B52" s="433" t="s">
        <v>125</v>
      </c>
      <c r="C52" s="434"/>
      <c r="D52" s="434"/>
      <c r="E52" s="434"/>
      <c r="F52" s="434"/>
      <c r="G52" s="435"/>
      <c r="H52" s="433" t="s">
        <v>126</v>
      </c>
      <c r="I52" s="434"/>
      <c r="J52" s="434"/>
      <c r="K52" s="434"/>
      <c r="L52" s="435"/>
      <c r="M52" s="78" t="s">
        <v>127</v>
      </c>
    </row>
    <row r="53" spans="1:13">
      <c r="A53" s="6"/>
      <c r="B53" s="436"/>
      <c r="C53" s="437"/>
      <c r="D53" s="437"/>
      <c r="E53" s="437"/>
      <c r="F53" s="437"/>
      <c r="G53" s="438"/>
      <c r="H53" s="436"/>
      <c r="I53" s="437"/>
      <c r="J53" s="437"/>
      <c r="K53" s="437"/>
      <c r="L53" s="438"/>
    </row>
    <row r="54" spans="1:13">
      <c r="A54" s="6"/>
      <c r="B54" s="436"/>
      <c r="C54" s="437"/>
      <c r="D54" s="437"/>
      <c r="E54" s="437"/>
      <c r="F54" s="437"/>
      <c r="G54" s="438"/>
      <c r="H54" s="436"/>
      <c r="I54" s="437"/>
      <c r="J54" s="437"/>
      <c r="K54" s="437"/>
      <c r="L54" s="438"/>
    </row>
    <row r="55" spans="1:13">
      <c r="A55" s="6"/>
      <c r="B55" s="436"/>
      <c r="C55" s="437"/>
      <c r="D55" s="437"/>
      <c r="E55" s="437"/>
      <c r="F55" s="437"/>
      <c r="G55" s="438"/>
      <c r="H55" s="436"/>
      <c r="I55" s="437"/>
      <c r="J55" s="437"/>
      <c r="K55" s="437"/>
      <c r="L55" s="438"/>
    </row>
    <row r="61" spans="1:13">
      <c r="A61" s="451" t="s">
        <v>42</v>
      </c>
      <c r="B61" s="451"/>
      <c r="C61" s="451"/>
      <c r="D61" s="451"/>
      <c r="E61" s="451"/>
      <c r="F61" s="451"/>
      <c r="G61" s="451"/>
      <c r="H61" s="451"/>
      <c r="I61" s="451"/>
      <c r="J61" s="451"/>
      <c r="K61" s="451"/>
      <c r="L61" s="451"/>
    </row>
    <row r="62" spans="1:13">
      <c r="A62" s="450" t="s">
        <v>44</v>
      </c>
      <c r="B62" s="450"/>
      <c r="C62" s="450"/>
      <c r="D62" s="450" t="s">
        <v>45</v>
      </c>
      <c r="E62" s="450"/>
      <c r="F62" s="452" t="s">
        <v>46</v>
      </c>
      <c r="G62" s="453"/>
      <c r="H62" s="453"/>
      <c r="I62" s="453"/>
      <c r="J62" s="453"/>
      <c r="K62" s="453"/>
      <c r="L62" s="454"/>
    </row>
    <row r="63" spans="1:13">
      <c r="A63" s="450" t="s">
        <v>43</v>
      </c>
      <c r="B63" s="450"/>
      <c r="C63" s="450"/>
      <c r="D63" s="450" t="s">
        <v>47</v>
      </c>
      <c r="E63" s="450"/>
      <c r="F63" s="452" t="s">
        <v>48</v>
      </c>
      <c r="G63" s="453"/>
      <c r="H63" s="453"/>
      <c r="I63" s="453"/>
      <c r="J63" s="453"/>
      <c r="K63" s="453"/>
      <c r="L63" s="454"/>
    </row>
    <row r="64" spans="1:13">
      <c r="A64" s="450" t="s">
        <v>49</v>
      </c>
      <c r="B64" s="450"/>
      <c r="C64" s="450"/>
      <c r="D64" s="450" t="s">
        <v>47</v>
      </c>
      <c r="E64" s="450"/>
      <c r="F64" s="452" t="s">
        <v>48</v>
      </c>
      <c r="G64" s="453"/>
      <c r="H64" s="453"/>
      <c r="I64" s="453"/>
      <c r="J64" s="453"/>
      <c r="K64" s="453"/>
      <c r="L64" s="454"/>
    </row>
    <row r="65" spans="1:12">
      <c r="A65" s="455"/>
      <c r="B65" s="455"/>
      <c r="C65" s="455"/>
      <c r="D65" s="455"/>
      <c r="E65" s="455"/>
      <c r="F65" s="436"/>
      <c r="G65" s="437"/>
      <c r="H65" s="437"/>
      <c r="I65" s="437"/>
      <c r="J65" s="437"/>
      <c r="K65" s="437"/>
      <c r="L65" s="438"/>
    </row>
    <row r="66" spans="1:12">
      <c r="A66" s="455"/>
      <c r="B66" s="455"/>
      <c r="C66" s="455"/>
      <c r="D66" s="455"/>
      <c r="E66" s="455"/>
      <c r="F66" s="436"/>
      <c r="G66" s="437"/>
      <c r="H66" s="437"/>
      <c r="I66" s="437"/>
      <c r="J66" s="437"/>
      <c r="K66" s="437"/>
      <c r="L66" s="438"/>
    </row>
    <row r="67" spans="1:12">
      <c r="A67" s="455"/>
      <c r="B67" s="455"/>
      <c r="C67" s="455"/>
      <c r="D67" s="455"/>
      <c r="E67" s="455"/>
      <c r="F67" s="436"/>
      <c r="G67" s="437"/>
      <c r="H67" s="437"/>
      <c r="I67" s="437"/>
      <c r="J67" s="437"/>
      <c r="K67" s="437"/>
      <c r="L67" s="438"/>
    </row>
    <row r="68" spans="1:12">
      <c r="A68" s="455"/>
      <c r="B68" s="455"/>
      <c r="C68" s="455"/>
      <c r="D68" s="455"/>
      <c r="E68" s="455"/>
      <c r="F68" s="436"/>
      <c r="G68" s="437"/>
      <c r="H68" s="437"/>
      <c r="I68" s="437"/>
      <c r="J68" s="437"/>
      <c r="K68" s="437"/>
      <c r="L68" s="438"/>
    </row>
    <row r="72" spans="1:12">
      <c r="A72" s="4" t="s">
        <v>122</v>
      </c>
    </row>
    <row r="73" spans="1:12">
      <c r="A73" s="4" t="s">
        <v>123</v>
      </c>
    </row>
  </sheetData>
  <mergeCells count="92">
    <mergeCell ref="F64:L64"/>
    <mergeCell ref="F65:L65"/>
    <mergeCell ref="F66:L66"/>
    <mergeCell ref="F67:L67"/>
    <mergeCell ref="F68:L68"/>
    <mergeCell ref="A64:C64"/>
    <mergeCell ref="A65:C65"/>
    <mergeCell ref="A66:C66"/>
    <mergeCell ref="A67:C67"/>
    <mergeCell ref="A68:C68"/>
    <mergeCell ref="D64:E64"/>
    <mergeCell ref="D65:E65"/>
    <mergeCell ref="D66:E66"/>
    <mergeCell ref="D67:E67"/>
    <mergeCell ref="D68:E68"/>
    <mergeCell ref="F6:L6"/>
    <mergeCell ref="A61:L61"/>
    <mergeCell ref="A63:C63"/>
    <mergeCell ref="A62:C62"/>
    <mergeCell ref="D62:E62"/>
    <mergeCell ref="D63:E63"/>
    <mergeCell ref="F63:L63"/>
    <mergeCell ref="F62:L62"/>
    <mergeCell ref="F18:L18"/>
    <mergeCell ref="F7:L7"/>
    <mergeCell ref="F8:L8"/>
    <mergeCell ref="F9:L9"/>
    <mergeCell ref="F10:L10"/>
    <mergeCell ref="F11:L11"/>
    <mergeCell ref="F12:L12"/>
    <mergeCell ref="F13:L13"/>
    <mergeCell ref="A1:L1"/>
    <mergeCell ref="F2:L2"/>
    <mergeCell ref="F3:L3"/>
    <mergeCell ref="F4:L4"/>
    <mergeCell ref="F5:L5"/>
    <mergeCell ref="F14:L14"/>
    <mergeCell ref="F15:L15"/>
    <mergeCell ref="F16:L16"/>
    <mergeCell ref="F17:L17"/>
    <mergeCell ref="F19:L19"/>
    <mergeCell ref="F20:L20"/>
    <mergeCell ref="F21:L21"/>
    <mergeCell ref="F35:L35"/>
    <mergeCell ref="F34:L34"/>
    <mergeCell ref="F33:L33"/>
    <mergeCell ref="F32:L32"/>
    <mergeCell ref="F31:L31"/>
    <mergeCell ref="F30:L30"/>
    <mergeCell ref="F29:L29"/>
    <mergeCell ref="F28:L28"/>
    <mergeCell ref="F27:L27"/>
    <mergeCell ref="F22:L22"/>
    <mergeCell ref="F23:L23"/>
    <mergeCell ref="F24:L24"/>
    <mergeCell ref="F25:L25"/>
    <mergeCell ref="F26:L26"/>
    <mergeCell ref="B45:G45"/>
    <mergeCell ref="H41:L41"/>
    <mergeCell ref="H42:L42"/>
    <mergeCell ref="H43:L43"/>
    <mergeCell ref="H44:L44"/>
    <mergeCell ref="H45:L45"/>
    <mergeCell ref="A38:L38"/>
    <mergeCell ref="B41:G41"/>
    <mergeCell ref="B42:G42"/>
    <mergeCell ref="B43:G43"/>
    <mergeCell ref="B44:G44"/>
    <mergeCell ref="B39:G39"/>
    <mergeCell ref="B40:G40"/>
    <mergeCell ref="H39:L39"/>
    <mergeCell ref="H40:L40"/>
    <mergeCell ref="H50:L50"/>
    <mergeCell ref="B46:G46"/>
    <mergeCell ref="B47:G47"/>
    <mergeCell ref="B48:G48"/>
    <mergeCell ref="B49:G49"/>
    <mergeCell ref="B50:G50"/>
    <mergeCell ref="H46:L46"/>
    <mergeCell ref="H47:L47"/>
    <mergeCell ref="H48:L48"/>
    <mergeCell ref="H49:L49"/>
    <mergeCell ref="H51:L51"/>
    <mergeCell ref="B52:G52"/>
    <mergeCell ref="B53:G53"/>
    <mergeCell ref="B54:G54"/>
    <mergeCell ref="B55:G55"/>
    <mergeCell ref="H52:L52"/>
    <mergeCell ref="H53:L53"/>
    <mergeCell ref="H54:L54"/>
    <mergeCell ref="H55:L55"/>
    <mergeCell ref="B51:G51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4"/>
  <sheetViews>
    <sheetView showGridLines="0" zoomScale="80" zoomScaleNormal="80" workbookViewId="0">
      <selection activeCell="B105" sqref="B105"/>
    </sheetView>
  </sheetViews>
  <sheetFormatPr defaultColWidth="9.19921875" defaultRowHeight="13.15"/>
  <cols>
    <col min="1" max="1" width="9.19921875" style="4"/>
    <col min="2" max="2" width="35.9296875" style="4" customWidth="1"/>
    <col min="3" max="3" width="20.796875" style="4" customWidth="1"/>
    <col min="4" max="4" width="9.19921875" style="4"/>
    <col min="5" max="5" width="35.33203125" style="4" bestFit="1" customWidth="1"/>
    <col min="6" max="6" width="18.19921875" style="4" bestFit="1" customWidth="1"/>
    <col min="7" max="8" width="9.19921875" style="4"/>
    <col min="9" max="9" width="44.796875" style="4" bestFit="1" customWidth="1"/>
    <col min="10" max="10" width="11.46484375" style="4" bestFit="1" customWidth="1"/>
    <col min="11" max="16384" width="9.19921875" style="4"/>
  </cols>
  <sheetData>
    <row r="1" spans="2:10">
      <c r="B1" s="37" t="s">
        <v>57</v>
      </c>
    </row>
    <row r="2" spans="2:10">
      <c r="B2" s="4" t="s">
        <v>58</v>
      </c>
    </row>
    <row r="3" spans="2:10">
      <c r="B3" s="41" t="s">
        <v>55</v>
      </c>
    </row>
    <row r="4" spans="2:10">
      <c r="B4" s="41"/>
    </row>
    <row r="5" spans="2:10">
      <c r="B5" s="37" t="s">
        <v>538</v>
      </c>
      <c r="E5" s="37" t="s">
        <v>589</v>
      </c>
    </row>
    <row r="6" spans="2:10" ht="45" customHeight="1">
      <c r="B6" s="456" t="s">
        <v>59</v>
      </c>
      <c r="C6" s="457"/>
      <c r="E6" s="458" t="s">
        <v>59</v>
      </c>
      <c r="F6" s="459"/>
    </row>
    <row r="7" spans="2:10">
      <c r="B7" s="66" t="s">
        <v>133</v>
      </c>
      <c r="C7" s="67" t="s">
        <v>134</v>
      </c>
      <c r="E7" s="135" t="s">
        <v>133</v>
      </c>
      <c r="F7" s="258" t="s">
        <v>134</v>
      </c>
    </row>
    <row r="8" spans="2:10">
      <c r="B8" s="39" t="s">
        <v>453</v>
      </c>
      <c r="C8" s="40">
        <f>'Pref-EncargoMassa'!H38</f>
        <v>81523.86</v>
      </c>
      <c r="E8" s="39" t="s">
        <v>453</v>
      </c>
      <c r="F8" s="40">
        <f>'Pref-EncargoMassa'!M38</f>
        <v>97546.65</v>
      </c>
      <c r="I8" s="133" t="s">
        <v>577</v>
      </c>
      <c r="J8" s="132" t="s">
        <v>482</v>
      </c>
    </row>
    <row r="9" spans="2:10">
      <c r="B9" s="24" t="s">
        <v>136</v>
      </c>
      <c r="C9" s="7">
        <f>'Pref-Fiscal'!E332</f>
        <v>393687.22000000003</v>
      </c>
      <c r="E9" s="24" t="s">
        <v>136</v>
      </c>
      <c r="F9" s="7">
        <f>'Pref-Fiscal'!N174</f>
        <v>392521.91</v>
      </c>
      <c r="I9" s="260" t="s">
        <v>576</v>
      </c>
      <c r="J9" s="262" t="e">
        <f>#REF!</f>
        <v>#REF!</v>
      </c>
    </row>
    <row r="10" spans="2:10">
      <c r="B10" s="24" t="s">
        <v>137</v>
      </c>
      <c r="C10" s="7" t="e">
        <f>'Credores Quirografarios '!#REF!</f>
        <v>#REF!</v>
      </c>
      <c r="E10" s="24" t="s">
        <v>137</v>
      </c>
      <c r="F10" s="7">
        <f>'Credores Quirografarios '!I299</f>
        <v>10546460.490000013</v>
      </c>
      <c r="I10" s="261" t="s">
        <v>575</v>
      </c>
      <c r="J10" s="263" t="e">
        <f>#REF!</f>
        <v>#REF!</v>
      </c>
    </row>
    <row r="11" spans="2:10">
      <c r="B11" s="24" t="s">
        <v>138</v>
      </c>
      <c r="C11" s="7">
        <f>Multa!F129</f>
        <v>116526.03</v>
      </c>
      <c r="E11" s="24" t="s">
        <v>138</v>
      </c>
      <c r="F11" s="7">
        <f>Multa!O83</f>
        <v>34854193.359999999</v>
      </c>
      <c r="I11" s="261"/>
      <c r="J11" s="262" t="e">
        <f>SUM(J9:J10)</f>
        <v>#REF!</v>
      </c>
    </row>
    <row r="12" spans="2:10">
      <c r="B12" s="68" t="s">
        <v>56</v>
      </c>
      <c r="C12" s="69" t="e">
        <f>SUM(C8:C11)</f>
        <v>#REF!</v>
      </c>
      <c r="E12" s="99" t="s">
        <v>56</v>
      </c>
      <c r="F12" s="259">
        <f>SUM(F8:F11)</f>
        <v>45890722.410000011</v>
      </c>
      <c r="I12" s="264" t="s">
        <v>578</v>
      </c>
      <c r="J12" s="57" t="e">
        <f>J11*5%</f>
        <v>#REF!</v>
      </c>
    </row>
    <row r="13" spans="2:10">
      <c r="F13" s="79"/>
    </row>
    <row r="14" spans="2:10">
      <c r="F14" s="79"/>
    </row>
    <row r="15" spans="2:10">
      <c r="F15" s="79"/>
    </row>
    <row r="16" spans="2:10">
      <c r="B16" s="37" t="s">
        <v>601</v>
      </c>
      <c r="E16" s="37" t="s">
        <v>817</v>
      </c>
    </row>
    <row r="17" spans="2:6" ht="38.549999999999997" customHeight="1">
      <c r="B17" s="460" t="s">
        <v>816</v>
      </c>
      <c r="C17" s="461"/>
      <c r="E17" s="460" t="s">
        <v>816</v>
      </c>
      <c r="F17" s="461"/>
    </row>
    <row r="18" spans="2:6">
      <c r="B18" s="411" t="s">
        <v>133</v>
      </c>
      <c r="C18" s="412" t="s">
        <v>134</v>
      </c>
      <c r="E18" s="411" t="s">
        <v>133</v>
      </c>
      <c r="F18" s="412" t="s">
        <v>134</v>
      </c>
    </row>
    <row r="19" spans="2:6" ht="26.25">
      <c r="B19" s="39" t="str">
        <f>'QGC 29.05.26'!B2</f>
        <v>CRÉDITOS PREFERENCIAIS - ACIDENTÁRIOS E TRABALHISTAS</v>
      </c>
      <c r="C19" s="40" t="e">
        <f>'QGC 29.05.26'!C9</f>
        <v>#REF!</v>
      </c>
      <c r="E19" s="39" t="str">
        <f>'QGC 11.08.26'!B2</f>
        <v>CRÉDITOS PREFERENCIAIS - ACIDENTÁRIOS E TRABALHISTAS</v>
      </c>
      <c r="F19" s="40" t="e">
        <f>'QGC 11.08.26'!C9</f>
        <v>#REF!</v>
      </c>
    </row>
    <row r="20" spans="2:6">
      <c r="B20" s="24" t="str">
        <f>'QGC 29.05.26'!B12</f>
        <v>CRÉDITOS PREFERENCIAIS - FISCAIS</v>
      </c>
      <c r="C20" s="7">
        <f>'QGC 29.05.26'!C125</f>
        <v>331295.83599999984</v>
      </c>
      <c r="E20" s="24" t="str">
        <f>'QGC 11.08.26'!B12</f>
        <v>CRÉDITOS PREFERENCIAIS - FISCAIS</v>
      </c>
      <c r="F20" s="7">
        <f>'QGC 11.08.26'!C126</f>
        <v>331760.26599999989</v>
      </c>
    </row>
    <row r="21" spans="2:6" ht="26.25">
      <c r="B21" s="410" t="str">
        <f>'QGC 29.05.26'!B129</f>
        <v>CRÉDITOS PREFERENCIAIS - ENCARGOS DA MASSA</v>
      </c>
      <c r="C21" s="7">
        <f>'QGC 29.05.26'!C136</f>
        <v>55076.87</v>
      </c>
      <c r="E21" s="410" t="str">
        <f>'QGC 11.08.26'!B130</f>
        <v>CRÉDITOS PREFERENCIAIS - ENCARGOS DA MASSA</v>
      </c>
      <c r="F21" s="7">
        <f>'QGC 11.08.26'!C137</f>
        <v>55076.87</v>
      </c>
    </row>
    <row r="22" spans="2:6">
      <c r="B22" s="24" t="str">
        <f>'QGC 29.05.26'!B140</f>
        <v>CRÉDITOS CONCURSAIS - QUIROGRAFÁRIOS</v>
      </c>
      <c r="C22" s="7">
        <f>'QGC 29.05.26'!C436</f>
        <v>191702.01394181806</v>
      </c>
      <c r="E22" s="24" t="str">
        <f>'QGC 11.08.26'!B141</f>
        <v>CRÉDITOS CONCURSAIS - QUIROGRAFÁRIOS</v>
      </c>
      <c r="F22" s="7">
        <f>'QGC 11.08.26'!C437</f>
        <v>191702.01394181806</v>
      </c>
    </row>
    <row r="23" spans="2:6">
      <c r="B23" s="413" t="s">
        <v>56</v>
      </c>
      <c r="C23" s="414" t="e">
        <f>SUM(C19:C22)</f>
        <v>#REF!</v>
      </c>
      <c r="E23" s="413" t="s">
        <v>56</v>
      </c>
      <c r="F23" s="414" t="e">
        <f>SUM(F19:F22)</f>
        <v>#REF!</v>
      </c>
    </row>
    <row r="24" spans="2:6">
      <c r="C24" s="79"/>
    </row>
  </sheetData>
  <mergeCells count="4">
    <mergeCell ref="B6:C6"/>
    <mergeCell ref="E6:F6"/>
    <mergeCell ref="B17:C17"/>
    <mergeCell ref="E17:F1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3A44D-4932-4FA1-A35B-84A75A5AC86D}">
  <dimension ref="C2:G450"/>
  <sheetViews>
    <sheetView zoomScale="80" zoomScaleNormal="80" workbookViewId="0">
      <selection activeCell="E31" sqref="E31:G31"/>
    </sheetView>
  </sheetViews>
  <sheetFormatPr defaultColWidth="9.19921875" defaultRowHeight="13.15"/>
  <cols>
    <col min="1" max="2" width="9.19921875" style="4"/>
    <col min="3" max="3" width="24" style="4" customWidth="1"/>
    <col min="4" max="4" width="17.73046875" style="4" customWidth="1"/>
    <col min="5" max="5" width="61.53125" style="4" customWidth="1"/>
    <col min="6" max="6" width="22.19921875" style="4" bestFit="1" customWidth="1"/>
    <col min="7" max="7" width="41.46484375" style="4" customWidth="1"/>
    <col min="8" max="8" width="21.73046875" style="4" bestFit="1" customWidth="1"/>
    <col min="9" max="16384" width="9.19921875" style="4"/>
  </cols>
  <sheetData>
    <row r="2" spans="3:7" ht="42.75" customHeight="1">
      <c r="C2" s="466" t="s">
        <v>59</v>
      </c>
      <c r="D2" s="466"/>
    </row>
    <row r="3" spans="3:7">
      <c r="C3" s="64" t="s">
        <v>133</v>
      </c>
      <c r="D3" s="64" t="s">
        <v>134</v>
      </c>
    </row>
    <row r="4" spans="3:7">
      <c r="C4" s="6" t="s">
        <v>453</v>
      </c>
      <c r="D4" s="7">
        <f>F35</f>
        <v>81523.86</v>
      </c>
      <c r="E4" s="79"/>
    </row>
    <row r="5" spans="3:7">
      <c r="C5" s="6" t="s">
        <v>136</v>
      </c>
      <c r="D5" s="7">
        <f>F106</f>
        <v>1166756.6399999999</v>
      </c>
      <c r="E5" s="79"/>
    </row>
    <row r="6" spans="3:7">
      <c r="C6" s="6" t="s">
        <v>137</v>
      </c>
      <c r="D6" s="7">
        <f>D404</f>
        <v>7978858.2295704074</v>
      </c>
      <c r="E6" s="79"/>
    </row>
    <row r="7" spans="3:7">
      <c r="C7" s="6" t="s">
        <v>138</v>
      </c>
      <c r="D7" s="7">
        <f>F449</f>
        <v>116526.03</v>
      </c>
      <c r="E7" s="79"/>
    </row>
    <row r="8" spans="3:7">
      <c r="C8" s="59" t="s">
        <v>56</v>
      </c>
      <c r="D8" s="62">
        <f>SUM(D4:D7)</f>
        <v>9343664.7595704067</v>
      </c>
      <c r="E8" s="80"/>
    </row>
    <row r="11" spans="3:7">
      <c r="C11" s="467" t="s">
        <v>452</v>
      </c>
      <c r="D11" s="468"/>
      <c r="E11" s="468"/>
      <c r="F11" s="468"/>
      <c r="G11" s="469"/>
    </row>
    <row r="12" spans="3:7">
      <c r="C12" s="54" t="s">
        <v>423</v>
      </c>
      <c r="D12" s="54" t="s">
        <v>45</v>
      </c>
      <c r="E12" s="54" t="s">
        <v>66</v>
      </c>
      <c r="F12" s="55" t="s">
        <v>483</v>
      </c>
      <c r="G12" s="54" t="s">
        <v>94</v>
      </c>
    </row>
    <row r="13" spans="3:7">
      <c r="C13" s="6" t="s">
        <v>426</v>
      </c>
      <c r="D13" s="6" t="s">
        <v>61</v>
      </c>
      <c r="E13" s="13">
        <v>1999</v>
      </c>
      <c r="F13" s="7">
        <f>622.31+674.32</f>
        <v>1296.6300000000001</v>
      </c>
      <c r="G13" s="12" t="s">
        <v>442</v>
      </c>
    </row>
    <row r="14" spans="3:7">
      <c r="C14" s="6" t="s">
        <v>426</v>
      </c>
      <c r="D14" s="6" t="s">
        <v>61</v>
      </c>
      <c r="E14" s="13">
        <v>2000</v>
      </c>
      <c r="F14" s="7">
        <f>622.31+674.32</f>
        <v>1296.6300000000001</v>
      </c>
      <c r="G14" s="12" t="s">
        <v>442</v>
      </c>
    </row>
    <row r="15" spans="3:7">
      <c r="C15" s="6" t="s">
        <v>426</v>
      </c>
      <c r="D15" s="6" t="s">
        <v>61</v>
      </c>
      <c r="E15" s="13">
        <v>2001</v>
      </c>
      <c r="F15" s="7">
        <f>692.31+744.85</f>
        <v>1437.1599999999999</v>
      </c>
      <c r="G15" s="12" t="s">
        <v>442</v>
      </c>
    </row>
    <row r="16" spans="3:7">
      <c r="C16" s="6" t="s">
        <v>426</v>
      </c>
      <c r="D16" s="6" t="s">
        <v>61</v>
      </c>
      <c r="E16" s="13">
        <v>2002</v>
      </c>
      <c r="F16" s="7">
        <f>767.27+698.24</f>
        <v>1465.51</v>
      </c>
      <c r="G16" s="12" t="s">
        <v>442</v>
      </c>
    </row>
    <row r="17" spans="3:7">
      <c r="C17" s="6" t="s">
        <v>426</v>
      </c>
      <c r="D17" s="6" t="s">
        <v>60</v>
      </c>
      <c r="E17" s="13">
        <v>2003</v>
      </c>
      <c r="F17" s="7">
        <f>1020.61+505.33</f>
        <v>1525.94</v>
      </c>
      <c r="G17" s="12" t="s">
        <v>442</v>
      </c>
    </row>
    <row r="18" spans="3:7">
      <c r="C18" s="6" t="s">
        <v>426</v>
      </c>
      <c r="D18" s="6" t="s">
        <v>61</v>
      </c>
      <c r="E18" s="13">
        <v>2004</v>
      </c>
      <c r="F18" s="7">
        <f>1145.69+359.86</f>
        <v>1505.5500000000002</v>
      </c>
      <c r="G18" s="12" t="s">
        <v>443</v>
      </c>
    </row>
    <row r="19" spans="3:7">
      <c r="C19" s="6" t="s">
        <v>426</v>
      </c>
      <c r="D19" s="6" t="s">
        <v>60</v>
      </c>
      <c r="E19" s="13">
        <v>2005</v>
      </c>
      <c r="F19" s="7">
        <f>1286.41+291.29</f>
        <v>1577.7</v>
      </c>
      <c r="G19" s="12" t="s">
        <v>443</v>
      </c>
    </row>
    <row r="20" spans="3:7">
      <c r="C20" s="6" t="s">
        <v>426</v>
      </c>
      <c r="D20" s="6" t="s">
        <v>60</v>
      </c>
      <c r="E20" s="13">
        <v>2006</v>
      </c>
      <c r="F20" s="7">
        <f>1452.35+269.92</f>
        <v>1722.27</v>
      </c>
      <c r="G20" s="12" t="s">
        <v>443</v>
      </c>
    </row>
    <row r="21" spans="3:7">
      <c r="C21" s="6" t="s">
        <v>426</v>
      </c>
      <c r="D21" s="6" t="s">
        <v>60</v>
      </c>
      <c r="E21" s="13">
        <v>2007</v>
      </c>
      <c r="F21" s="7">
        <f>2553.25+370.17</f>
        <v>2923.42</v>
      </c>
      <c r="G21" s="12" t="s">
        <v>443</v>
      </c>
    </row>
    <row r="22" spans="3:7">
      <c r="C22" s="6" t="s">
        <v>426</v>
      </c>
      <c r="D22" s="6" t="s">
        <v>60</v>
      </c>
      <c r="E22" s="13">
        <v>2008</v>
      </c>
      <c r="F22" s="7">
        <f>2714.99+188.76</f>
        <v>2903.75</v>
      </c>
      <c r="G22" s="12" t="s">
        <v>443</v>
      </c>
    </row>
    <row r="23" spans="3:7">
      <c r="C23" s="6" t="s">
        <v>426</v>
      </c>
      <c r="D23" s="6" t="s">
        <v>60</v>
      </c>
      <c r="E23" s="13">
        <v>2009</v>
      </c>
      <c r="F23" s="7">
        <f>1789.18+29.75</f>
        <v>1818.93</v>
      </c>
      <c r="G23" s="12" t="s">
        <v>444</v>
      </c>
    </row>
    <row r="24" spans="3:7">
      <c r="C24" s="6" t="s">
        <v>426</v>
      </c>
      <c r="D24" s="6" t="s">
        <v>60</v>
      </c>
      <c r="E24" s="13">
        <v>2010</v>
      </c>
      <c r="F24" s="7">
        <f>1857.44</f>
        <v>1857.44</v>
      </c>
      <c r="G24" s="12" t="s">
        <v>444</v>
      </c>
    </row>
    <row r="25" spans="3:7">
      <c r="C25" s="6" t="s">
        <v>426</v>
      </c>
      <c r="D25" s="6" t="s">
        <v>60</v>
      </c>
      <c r="E25" s="13">
        <v>2011</v>
      </c>
      <c r="F25" s="7">
        <v>1968.9</v>
      </c>
      <c r="G25" s="12" t="s">
        <v>444</v>
      </c>
    </row>
    <row r="26" spans="3:7">
      <c r="C26" s="6" t="s">
        <v>426</v>
      </c>
      <c r="D26" s="6" t="s">
        <v>60</v>
      </c>
      <c r="E26" s="13">
        <v>2012</v>
      </c>
      <c r="F26" s="7">
        <v>6514.58</v>
      </c>
      <c r="G26" s="12" t="s">
        <v>445</v>
      </c>
    </row>
    <row r="27" spans="3:7">
      <c r="C27" s="6" t="s">
        <v>426</v>
      </c>
      <c r="D27" s="6" t="s">
        <v>60</v>
      </c>
      <c r="E27" s="13">
        <v>2013</v>
      </c>
      <c r="F27" s="7">
        <v>6869.51</v>
      </c>
      <c r="G27" s="12" t="s">
        <v>445</v>
      </c>
    </row>
    <row r="28" spans="3:7">
      <c r="C28" s="6" t="s">
        <v>426</v>
      </c>
      <c r="D28" s="6" t="s">
        <v>60</v>
      </c>
      <c r="E28" s="13">
        <v>2014</v>
      </c>
      <c r="F28" s="7">
        <v>7271.51</v>
      </c>
      <c r="G28" s="12" t="s">
        <v>445</v>
      </c>
    </row>
    <row r="29" spans="3:7">
      <c r="C29" s="28" t="s">
        <v>426</v>
      </c>
      <c r="D29" s="6" t="s">
        <v>60</v>
      </c>
      <c r="E29" s="29">
        <v>2015</v>
      </c>
      <c r="F29" s="30">
        <v>7750.74</v>
      </c>
      <c r="G29" s="56" t="s">
        <v>446</v>
      </c>
    </row>
    <row r="30" spans="3:7">
      <c r="C30" s="28" t="s">
        <v>426</v>
      </c>
      <c r="D30" s="6" t="s">
        <v>61</v>
      </c>
      <c r="E30" s="29">
        <v>2016</v>
      </c>
      <c r="F30" s="30">
        <v>8515.2900000000009</v>
      </c>
      <c r="G30" s="56" t="s">
        <v>446</v>
      </c>
    </row>
    <row r="31" spans="3:7">
      <c r="C31" s="28" t="s">
        <v>426</v>
      </c>
      <c r="D31" s="6" t="s">
        <v>61</v>
      </c>
      <c r="E31" s="29">
        <v>2017</v>
      </c>
      <c r="F31" s="30">
        <v>9189.3700000000008</v>
      </c>
      <c r="G31" s="56" t="s">
        <v>446</v>
      </c>
    </row>
    <row r="32" spans="3:7">
      <c r="C32" s="28" t="s">
        <v>426</v>
      </c>
      <c r="D32" s="6" t="s">
        <v>61</v>
      </c>
      <c r="E32" s="29">
        <v>2018</v>
      </c>
      <c r="F32" s="30">
        <v>9418.93</v>
      </c>
      <c r="G32" s="56" t="s">
        <v>447</v>
      </c>
    </row>
    <row r="33" spans="3:7">
      <c r="C33" s="28" t="s">
        <v>508</v>
      </c>
      <c r="D33" s="6" t="s">
        <v>509</v>
      </c>
      <c r="E33" s="29" t="s">
        <v>510</v>
      </c>
      <c r="F33" s="30">
        <v>1202.45</v>
      </c>
      <c r="G33" s="53" t="s">
        <v>507</v>
      </c>
    </row>
    <row r="34" spans="3:7">
      <c r="C34" s="6" t="s">
        <v>508</v>
      </c>
      <c r="D34" s="6" t="s">
        <v>513</v>
      </c>
      <c r="E34" s="13" t="s">
        <v>510</v>
      </c>
      <c r="F34" s="7">
        <v>1491.65</v>
      </c>
      <c r="G34" s="38" t="s">
        <v>514</v>
      </c>
    </row>
    <row r="35" spans="3:7">
      <c r="C35" s="463" t="s">
        <v>56</v>
      </c>
      <c r="D35" s="464"/>
      <c r="E35" s="465"/>
      <c r="F35" s="57">
        <f>SUM(F13:F34)</f>
        <v>81523.86</v>
      </c>
      <c r="G35" s="58"/>
    </row>
    <row r="38" spans="3:7">
      <c r="C38" s="462" t="s">
        <v>449</v>
      </c>
      <c r="D38" s="462"/>
      <c r="E38" s="462"/>
      <c r="F38" s="462"/>
      <c r="G38" s="462"/>
    </row>
    <row r="39" spans="3:7">
      <c r="C39" s="54" t="s">
        <v>423</v>
      </c>
      <c r="D39" s="54" t="s">
        <v>45</v>
      </c>
      <c r="E39" s="54" t="s">
        <v>66</v>
      </c>
      <c r="F39" s="55" t="s">
        <v>483</v>
      </c>
      <c r="G39" s="54" t="s">
        <v>94</v>
      </c>
    </row>
    <row r="40" spans="3:7">
      <c r="C40" s="6" t="s">
        <v>424</v>
      </c>
      <c r="D40" s="12" t="s">
        <v>65</v>
      </c>
      <c r="E40" s="12" t="s">
        <v>67</v>
      </c>
      <c r="F40" s="7">
        <v>3838.95</v>
      </c>
      <c r="G40" s="12" t="s">
        <v>481</v>
      </c>
    </row>
    <row r="41" spans="3:7">
      <c r="C41" s="6" t="s">
        <v>424</v>
      </c>
      <c r="D41" s="12" t="s">
        <v>65</v>
      </c>
      <c r="E41" s="12" t="s">
        <v>68</v>
      </c>
      <c r="F41" s="7">
        <v>3033.36</v>
      </c>
      <c r="G41" s="12" t="s">
        <v>481</v>
      </c>
    </row>
    <row r="42" spans="3:7">
      <c r="C42" s="6" t="s">
        <v>424</v>
      </c>
      <c r="D42" s="12" t="s">
        <v>65</v>
      </c>
      <c r="E42" s="12" t="s">
        <v>69</v>
      </c>
      <c r="F42" s="7">
        <v>3033.36</v>
      </c>
      <c r="G42" s="12" t="s">
        <v>481</v>
      </c>
    </row>
    <row r="43" spans="3:7">
      <c r="C43" s="6" t="s">
        <v>424</v>
      </c>
      <c r="D43" s="12" t="s">
        <v>65</v>
      </c>
      <c r="E43" s="12" t="s">
        <v>70</v>
      </c>
      <c r="F43" s="7">
        <v>908.7</v>
      </c>
      <c r="G43" s="12" t="s">
        <v>481</v>
      </c>
    </row>
    <row r="44" spans="3:7">
      <c r="C44" s="6" t="s">
        <v>424</v>
      </c>
      <c r="D44" s="12" t="s">
        <v>65</v>
      </c>
      <c r="E44" s="12" t="s">
        <v>71</v>
      </c>
      <c r="F44" s="7">
        <v>16838.64</v>
      </c>
      <c r="G44" s="12" t="s">
        <v>481</v>
      </c>
    </row>
    <row r="45" spans="3:7">
      <c r="C45" s="6" t="s">
        <v>424</v>
      </c>
      <c r="D45" s="12" t="s">
        <v>65</v>
      </c>
      <c r="E45" s="12" t="s">
        <v>74</v>
      </c>
      <c r="F45" s="7">
        <v>510.14</v>
      </c>
      <c r="G45" s="12" t="s">
        <v>481</v>
      </c>
    </row>
    <row r="46" spans="3:7">
      <c r="C46" s="6" t="s">
        <v>424</v>
      </c>
      <c r="D46" s="12" t="s">
        <v>65</v>
      </c>
      <c r="E46" s="12" t="s">
        <v>86</v>
      </c>
      <c r="F46" s="7">
        <v>3355.15</v>
      </c>
      <c r="G46" s="12" t="s">
        <v>481</v>
      </c>
    </row>
    <row r="47" spans="3:7">
      <c r="C47" s="6" t="s">
        <v>424</v>
      </c>
      <c r="D47" s="12" t="s">
        <v>65</v>
      </c>
      <c r="E47" s="12" t="s">
        <v>93</v>
      </c>
      <c r="F47" s="7">
        <v>18484.2</v>
      </c>
      <c r="G47" s="12" t="s">
        <v>481</v>
      </c>
    </row>
    <row r="48" spans="3:7">
      <c r="C48" s="6" t="s">
        <v>424</v>
      </c>
      <c r="D48" s="12" t="s">
        <v>65</v>
      </c>
      <c r="E48" s="12">
        <v>316617202</v>
      </c>
      <c r="F48" s="7">
        <v>6903.6</v>
      </c>
      <c r="G48" s="12" t="s">
        <v>429</v>
      </c>
    </row>
    <row r="49" spans="3:7">
      <c r="C49" s="6" t="s">
        <v>424</v>
      </c>
      <c r="D49" s="12" t="s">
        <v>65</v>
      </c>
      <c r="E49" s="12">
        <v>316617210</v>
      </c>
      <c r="F49" s="7">
        <v>2231.62</v>
      </c>
      <c r="G49" s="12" t="s">
        <v>429</v>
      </c>
    </row>
    <row r="50" spans="3:7">
      <c r="C50" s="6" t="s">
        <v>425</v>
      </c>
      <c r="D50" s="12" t="s">
        <v>65</v>
      </c>
      <c r="E50" s="12">
        <v>1101000387</v>
      </c>
      <c r="F50" s="7">
        <v>61.22</v>
      </c>
      <c r="G50" s="12" t="s">
        <v>430</v>
      </c>
    </row>
    <row r="51" spans="3:7">
      <c r="C51" s="6" t="s">
        <v>425</v>
      </c>
      <c r="D51" s="12" t="s">
        <v>65</v>
      </c>
      <c r="E51" s="12">
        <v>5101004787</v>
      </c>
      <c r="F51" s="7">
        <v>6022.83</v>
      </c>
      <c r="G51" s="12" t="s">
        <v>431</v>
      </c>
    </row>
    <row r="52" spans="3:7">
      <c r="C52" s="6" t="s">
        <v>425</v>
      </c>
      <c r="D52" s="12" t="s">
        <v>65</v>
      </c>
      <c r="E52" s="12">
        <v>5101005387</v>
      </c>
      <c r="F52" s="7">
        <v>11396.71</v>
      </c>
      <c r="G52" s="12" t="s">
        <v>431</v>
      </c>
    </row>
    <row r="53" spans="3:7">
      <c r="C53" s="6" t="s">
        <v>425</v>
      </c>
      <c r="D53" s="12" t="s">
        <v>65</v>
      </c>
      <c r="E53" s="12">
        <v>5101008787</v>
      </c>
      <c r="F53" s="7">
        <v>5637.26</v>
      </c>
      <c r="G53" s="12" t="s">
        <v>431</v>
      </c>
    </row>
    <row r="54" spans="3:7">
      <c r="C54" s="6" t="s">
        <v>425</v>
      </c>
      <c r="D54" s="12" t="s">
        <v>65</v>
      </c>
      <c r="E54" s="12">
        <v>5101013587</v>
      </c>
      <c r="F54" s="7">
        <v>4278.47</v>
      </c>
      <c r="G54" s="12" t="s">
        <v>431</v>
      </c>
    </row>
    <row r="55" spans="3:7">
      <c r="C55" s="6" t="s">
        <v>425</v>
      </c>
      <c r="D55" s="12" t="s">
        <v>65</v>
      </c>
      <c r="E55" s="12">
        <v>5101004187</v>
      </c>
      <c r="F55" s="7">
        <v>27532.86</v>
      </c>
      <c r="G55" s="12" t="s">
        <v>432</v>
      </c>
    </row>
    <row r="56" spans="3:7">
      <c r="C56" s="6" t="s">
        <v>425</v>
      </c>
      <c r="D56" s="12" t="s">
        <v>65</v>
      </c>
      <c r="E56" s="12">
        <v>5101004687</v>
      </c>
      <c r="F56" s="7">
        <v>35976.239999999998</v>
      </c>
      <c r="G56" s="12" t="s">
        <v>432</v>
      </c>
    </row>
    <row r="57" spans="3:7">
      <c r="C57" s="6" t="s">
        <v>425</v>
      </c>
      <c r="D57" s="12" t="s">
        <v>65</v>
      </c>
      <c r="E57" s="12">
        <v>5101005487</v>
      </c>
      <c r="F57" s="7">
        <v>16046.38</v>
      </c>
      <c r="G57" s="12" t="s">
        <v>432</v>
      </c>
    </row>
    <row r="58" spans="3:7">
      <c r="C58" s="6" t="s">
        <v>425</v>
      </c>
      <c r="D58" s="12" t="s">
        <v>65</v>
      </c>
      <c r="E58" s="12">
        <v>5101008687</v>
      </c>
      <c r="F58" s="7">
        <v>12698.31</v>
      </c>
      <c r="G58" s="12" t="s">
        <v>432</v>
      </c>
    </row>
    <row r="59" spans="3:7">
      <c r="C59" s="6" t="s">
        <v>425</v>
      </c>
      <c r="D59" s="12" t="s">
        <v>65</v>
      </c>
      <c r="E59" s="12">
        <v>5101014087</v>
      </c>
      <c r="F59" s="7">
        <v>10258.879999999999</v>
      </c>
      <c r="G59" s="12" t="s">
        <v>432</v>
      </c>
    </row>
    <row r="60" spans="3:7">
      <c r="C60" s="6" t="s">
        <v>425</v>
      </c>
      <c r="D60" s="12" t="s">
        <v>65</v>
      </c>
      <c r="E60" s="12">
        <v>5101743887</v>
      </c>
      <c r="F60" s="7">
        <v>227443.72</v>
      </c>
      <c r="G60" s="12" t="s">
        <v>432</v>
      </c>
    </row>
    <row r="61" spans="3:7">
      <c r="C61" s="6" t="s">
        <v>425</v>
      </c>
      <c r="D61" s="12" t="s">
        <v>65</v>
      </c>
      <c r="E61" s="12">
        <v>2101317567</v>
      </c>
      <c r="F61" s="7">
        <v>76224.289999999994</v>
      </c>
      <c r="G61" s="12" t="s">
        <v>432</v>
      </c>
    </row>
    <row r="62" spans="3:7">
      <c r="C62" s="6" t="s">
        <v>425</v>
      </c>
      <c r="D62" s="12" t="s">
        <v>65</v>
      </c>
      <c r="E62" s="12">
        <v>5101002987</v>
      </c>
      <c r="F62" s="7">
        <v>44417.33</v>
      </c>
      <c r="G62" s="12" t="s">
        <v>433</v>
      </c>
    </row>
    <row r="63" spans="3:7">
      <c r="C63" s="6" t="s">
        <v>425</v>
      </c>
      <c r="D63" s="12" t="s">
        <v>65</v>
      </c>
      <c r="E63" s="12">
        <v>5101003187</v>
      </c>
      <c r="F63" s="7">
        <v>814.52</v>
      </c>
      <c r="G63" s="12" t="s">
        <v>433</v>
      </c>
    </row>
    <row r="64" spans="3:7">
      <c r="C64" s="6" t="s">
        <v>425</v>
      </c>
      <c r="D64" s="12" t="s">
        <v>65</v>
      </c>
      <c r="E64" s="12">
        <v>5101005587</v>
      </c>
      <c r="F64" s="7">
        <v>23587.95</v>
      </c>
      <c r="G64" s="12" t="s">
        <v>433</v>
      </c>
    </row>
    <row r="65" spans="3:7">
      <c r="C65" s="6" t="s">
        <v>425</v>
      </c>
      <c r="D65" s="12" t="s">
        <v>65</v>
      </c>
      <c r="E65" s="12">
        <v>5101008987</v>
      </c>
      <c r="F65" s="7">
        <v>11505.2</v>
      </c>
      <c r="G65" s="12" t="s">
        <v>433</v>
      </c>
    </row>
    <row r="66" spans="3:7">
      <c r="C66" s="6" t="s">
        <v>425</v>
      </c>
      <c r="D66" s="12" t="s">
        <v>65</v>
      </c>
      <c r="E66" s="12">
        <v>5101013987</v>
      </c>
      <c r="F66" s="7">
        <v>5738.6</v>
      </c>
      <c r="G66" s="12" t="s">
        <v>433</v>
      </c>
    </row>
    <row r="67" spans="3:7">
      <c r="C67" s="6" t="s">
        <v>425</v>
      </c>
      <c r="D67" s="12" t="s">
        <v>65</v>
      </c>
      <c r="E67" s="12">
        <v>5101005887</v>
      </c>
      <c r="F67" s="7">
        <v>4136.01</v>
      </c>
      <c r="G67" s="12" t="s">
        <v>434</v>
      </c>
    </row>
    <row r="68" spans="3:7">
      <c r="C68" s="6" t="s">
        <v>425</v>
      </c>
      <c r="D68" s="12" t="s">
        <v>65</v>
      </c>
      <c r="E68" s="12">
        <v>5101008887</v>
      </c>
      <c r="F68" s="7">
        <v>4717.76</v>
      </c>
      <c r="G68" s="12" t="s">
        <v>434</v>
      </c>
    </row>
    <row r="69" spans="3:7">
      <c r="C69" s="6" t="s">
        <v>425</v>
      </c>
      <c r="D69" s="12" t="s">
        <v>65</v>
      </c>
      <c r="E69" s="12">
        <v>5101013887</v>
      </c>
      <c r="F69" s="7">
        <v>1094.68</v>
      </c>
      <c r="G69" s="12" t="s">
        <v>434</v>
      </c>
    </row>
    <row r="70" spans="3:7">
      <c r="C70" s="6" t="s">
        <v>425</v>
      </c>
      <c r="D70" s="12" t="s">
        <v>65</v>
      </c>
      <c r="E70" s="12">
        <v>5101743968</v>
      </c>
      <c r="F70" s="7">
        <v>10474.870000000001</v>
      </c>
      <c r="G70" s="12" t="s">
        <v>434</v>
      </c>
    </row>
    <row r="71" spans="3:7">
      <c r="C71" s="6" t="s">
        <v>425</v>
      </c>
      <c r="D71" s="12" t="s">
        <v>65</v>
      </c>
      <c r="E71" s="12">
        <v>1101001288</v>
      </c>
      <c r="F71" s="7">
        <v>80802.990000000005</v>
      </c>
      <c r="G71" s="12" t="s">
        <v>435</v>
      </c>
    </row>
    <row r="72" spans="3:7">
      <c r="C72" s="6" t="s">
        <v>425</v>
      </c>
      <c r="D72" s="12" t="s">
        <v>65</v>
      </c>
      <c r="E72" s="12">
        <v>1101005491</v>
      </c>
      <c r="F72" s="7">
        <v>282.94</v>
      </c>
      <c r="G72" s="12" t="s">
        <v>435</v>
      </c>
    </row>
    <row r="73" spans="3:7">
      <c r="C73" s="6" t="s">
        <v>425</v>
      </c>
      <c r="D73" s="12" t="s">
        <v>65</v>
      </c>
      <c r="E73" s="12">
        <v>5101004087</v>
      </c>
      <c r="F73" s="7">
        <v>5052.17</v>
      </c>
      <c r="G73" s="12" t="s">
        <v>436</v>
      </c>
    </row>
    <row r="74" spans="3:7">
      <c r="C74" s="6" t="s">
        <v>425</v>
      </c>
      <c r="D74" s="12" t="s">
        <v>65</v>
      </c>
      <c r="E74" s="12">
        <v>5101004587</v>
      </c>
      <c r="F74" s="7">
        <v>11877.55</v>
      </c>
      <c r="G74" s="12" t="s">
        <v>436</v>
      </c>
    </row>
    <row r="75" spans="3:7">
      <c r="C75" s="6" t="s">
        <v>425</v>
      </c>
      <c r="D75" s="12" t="s">
        <v>65</v>
      </c>
      <c r="E75" s="12">
        <v>5101005287</v>
      </c>
      <c r="F75" s="7">
        <v>5086.76</v>
      </c>
      <c r="G75" s="12" t="s">
        <v>436</v>
      </c>
    </row>
    <row r="76" spans="3:7">
      <c r="C76" s="6" t="s">
        <v>425</v>
      </c>
      <c r="D76" s="12" t="s">
        <v>65</v>
      </c>
      <c r="E76" s="12">
        <v>5101009087</v>
      </c>
      <c r="F76" s="7">
        <v>5047.2</v>
      </c>
      <c r="G76" s="12" t="s">
        <v>436</v>
      </c>
    </row>
    <row r="77" spans="3:7">
      <c r="C77" s="6" t="s">
        <v>425</v>
      </c>
      <c r="D77" s="12" t="s">
        <v>65</v>
      </c>
      <c r="E77" s="12">
        <v>5101014187</v>
      </c>
      <c r="F77" s="7">
        <v>3539.5</v>
      </c>
      <c r="G77" s="12" t="s">
        <v>436</v>
      </c>
    </row>
    <row r="78" spans="3:7">
      <c r="C78" s="6" t="s">
        <v>425</v>
      </c>
      <c r="D78" s="12" t="s">
        <v>65</v>
      </c>
      <c r="E78" s="12">
        <v>5101004487</v>
      </c>
      <c r="F78" s="7">
        <v>8520.18</v>
      </c>
      <c r="G78" s="12" t="s">
        <v>437</v>
      </c>
    </row>
    <row r="79" spans="3:7">
      <c r="C79" s="6" t="s">
        <v>425</v>
      </c>
      <c r="D79" s="12" t="s">
        <v>65</v>
      </c>
      <c r="E79" s="12">
        <v>5101003687</v>
      </c>
      <c r="F79" s="7">
        <v>1261.83</v>
      </c>
      <c r="G79" s="12" t="s">
        <v>437</v>
      </c>
    </row>
    <row r="80" spans="3:7">
      <c r="C80" s="6" t="s">
        <v>425</v>
      </c>
      <c r="D80" s="12" t="s">
        <v>65</v>
      </c>
      <c r="E80" s="12">
        <v>5101009387</v>
      </c>
      <c r="F80" s="7">
        <v>1001.86</v>
      </c>
      <c r="G80" s="12" t="s">
        <v>437</v>
      </c>
    </row>
    <row r="81" spans="3:7">
      <c r="C81" s="6" t="s">
        <v>425</v>
      </c>
      <c r="D81" s="12" t="s">
        <v>65</v>
      </c>
      <c r="E81" s="12">
        <v>5101003987</v>
      </c>
      <c r="F81" s="7">
        <v>114471.49</v>
      </c>
      <c r="G81" s="12" t="s">
        <v>438</v>
      </c>
    </row>
    <row r="82" spans="3:7">
      <c r="C82" s="6" t="s">
        <v>425</v>
      </c>
      <c r="D82" s="12" t="s">
        <v>65</v>
      </c>
      <c r="E82" s="12">
        <v>5101004887</v>
      </c>
      <c r="F82" s="7">
        <v>103719.28</v>
      </c>
      <c r="G82" s="12" t="s">
        <v>438</v>
      </c>
    </row>
    <row r="83" spans="3:7">
      <c r="C83" s="6" t="s">
        <v>425</v>
      </c>
      <c r="D83" s="12" t="s">
        <v>65</v>
      </c>
      <c r="E83" s="12">
        <v>5101005687</v>
      </c>
      <c r="F83" s="7">
        <v>60863.33</v>
      </c>
      <c r="G83" s="12" t="s">
        <v>438</v>
      </c>
    </row>
    <row r="84" spans="3:7">
      <c r="C84" s="6" t="s">
        <v>425</v>
      </c>
      <c r="D84" s="12" t="s">
        <v>65</v>
      </c>
      <c r="E84" s="12">
        <v>5101008587</v>
      </c>
      <c r="F84" s="7">
        <v>41734.519999999997</v>
      </c>
      <c r="G84" s="12" t="s">
        <v>438</v>
      </c>
    </row>
    <row r="85" spans="3:7">
      <c r="C85" s="6" t="s">
        <v>425</v>
      </c>
      <c r="D85" s="12" t="s">
        <v>65</v>
      </c>
      <c r="E85" s="12">
        <v>5101013687</v>
      </c>
      <c r="F85" s="7">
        <v>48993.21</v>
      </c>
      <c r="G85" s="12" t="s">
        <v>438</v>
      </c>
    </row>
    <row r="86" spans="3:7">
      <c r="C86" s="6" t="s">
        <v>425</v>
      </c>
      <c r="D86" s="12" t="s">
        <v>65</v>
      </c>
      <c r="E86" s="12">
        <v>5101016687</v>
      </c>
      <c r="F86" s="7">
        <v>12775.85</v>
      </c>
      <c r="G86" s="12" t="s">
        <v>439</v>
      </c>
    </row>
    <row r="87" spans="3:7">
      <c r="C87" s="6" t="s">
        <v>425</v>
      </c>
      <c r="D87" s="12" t="s">
        <v>65</v>
      </c>
      <c r="E87" s="12">
        <v>5101016587</v>
      </c>
      <c r="F87" s="7">
        <v>28911.74</v>
      </c>
      <c r="G87" s="12" t="s">
        <v>440</v>
      </c>
    </row>
    <row r="88" spans="3:7">
      <c r="C88" s="6" t="s">
        <v>425</v>
      </c>
      <c r="D88" s="12" t="s">
        <v>65</v>
      </c>
      <c r="E88" s="12">
        <v>5101002887</v>
      </c>
      <c r="F88" s="7">
        <v>3220.28</v>
      </c>
      <c r="G88" s="12" t="s">
        <v>441</v>
      </c>
    </row>
    <row r="89" spans="3:7">
      <c r="C89" s="6" t="s">
        <v>425</v>
      </c>
      <c r="D89" s="12" t="s">
        <v>65</v>
      </c>
      <c r="E89" s="12">
        <v>5101003287</v>
      </c>
      <c r="F89" s="7">
        <v>598.57000000000005</v>
      </c>
      <c r="G89" s="12" t="s">
        <v>441</v>
      </c>
    </row>
    <row r="90" spans="3:7">
      <c r="C90" s="6" t="s">
        <v>425</v>
      </c>
      <c r="D90" s="12" t="s">
        <v>65</v>
      </c>
      <c r="E90" s="12">
        <v>5101004987</v>
      </c>
      <c r="F90" s="7">
        <v>3526.91</v>
      </c>
      <c r="G90" s="12" t="s">
        <v>441</v>
      </c>
    </row>
    <row r="91" spans="3:7">
      <c r="C91" s="6" t="s">
        <v>425</v>
      </c>
      <c r="D91" s="12" t="s">
        <v>65</v>
      </c>
      <c r="E91" s="12">
        <v>5101016487</v>
      </c>
      <c r="F91" s="7">
        <v>2844.14</v>
      </c>
      <c r="G91" s="12" t="s">
        <v>441</v>
      </c>
    </row>
    <row r="92" spans="3:7">
      <c r="C92" s="6" t="s">
        <v>425</v>
      </c>
      <c r="D92" s="12" t="s">
        <v>65</v>
      </c>
      <c r="E92" s="12">
        <v>5101003487</v>
      </c>
      <c r="F92" s="7">
        <v>1028.04</v>
      </c>
      <c r="G92" s="12" t="s">
        <v>441</v>
      </c>
    </row>
    <row r="93" spans="3:7">
      <c r="C93" s="6" t="s">
        <v>425</v>
      </c>
      <c r="D93" s="12" t="s">
        <v>65</v>
      </c>
      <c r="E93" s="12">
        <v>5101004287</v>
      </c>
      <c r="F93" s="7">
        <v>2008.14</v>
      </c>
      <c r="G93" s="12" t="s">
        <v>441</v>
      </c>
    </row>
    <row r="94" spans="3:7">
      <c r="C94" s="6" t="s">
        <v>425</v>
      </c>
      <c r="D94" s="12" t="s">
        <v>65</v>
      </c>
      <c r="E94" s="12">
        <v>5101005787</v>
      </c>
      <c r="F94" s="7">
        <v>994.78</v>
      </c>
      <c r="G94" s="12" t="s">
        <v>441</v>
      </c>
    </row>
    <row r="95" spans="3:7">
      <c r="C95" s="6" t="s">
        <v>425</v>
      </c>
      <c r="D95" s="12" t="s">
        <v>65</v>
      </c>
      <c r="E95" s="12">
        <v>5101009287</v>
      </c>
      <c r="F95" s="7">
        <v>846.16</v>
      </c>
      <c r="G95" s="12" t="s">
        <v>441</v>
      </c>
    </row>
    <row r="96" spans="3:7">
      <c r="C96" s="6" t="s">
        <v>425</v>
      </c>
      <c r="D96" s="12" t="s">
        <v>65</v>
      </c>
      <c r="E96" s="12">
        <v>5101013787</v>
      </c>
      <c r="F96" s="7">
        <v>1338.25</v>
      </c>
      <c r="G96" s="12" t="s">
        <v>441</v>
      </c>
    </row>
    <row r="97" spans="3:7">
      <c r="C97" s="6" t="s">
        <v>425</v>
      </c>
      <c r="D97" s="12" t="s">
        <v>65</v>
      </c>
      <c r="E97" s="12">
        <v>5101003387</v>
      </c>
      <c r="F97" s="7">
        <v>510.37</v>
      </c>
      <c r="G97" s="12" t="s">
        <v>441</v>
      </c>
    </row>
    <row r="98" spans="3:7">
      <c r="C98" s="6" t="s">
        <v>425</v>
      </c>
      <c r="D98" s="12" t="s">
        <v>65</v>
      </c>
      <c r="E98" s="12">
        <v>5101003887</v>
      </c>
      <c r="F98" s="7">
        <v>3223.94</v>
      </c>
      <c r="G98" s="12" t="s">
        <v>441</v>
      </c>
    </row>
    <row r="99" spans="3:7">
      <c r="C99" s="6" t="s">
        <v>425</v>
      </c>
      <c r="D99" s="12" t="s">
        <v>65</v>
      </c>
      <c r="E99" s="12">
        <v>5101002787</v>
      </c>
      <c r="F99" s="7">
        <v>1207.52</v>
      </c>
      <c r="G99" s="12" t="s">
        <v>441</v>
      </c>
    </row>
    <row r="100" spans="3:7">
      <c r="C100" s="6" t="s">
        <v>425</v>
      </c>
      <c r="D100" s="12" t="s">
        <v>65</v>
      </c>
      <c r="E100" s="12">
        <v>5101004387</v>
      </c>
      <c r="F100" s="7">
        <v>2545.75</v>
      </c>
      <c r="G100" s="12" t="s">
        <v>441</v>
      </c>
    </row>
    <row r="101" spans="3:7">
      <c r="C101" s="6" t="s">
        <v>425</v>
      </c>
      <c r="D101" s="12" t="s">
        <v>65</v>
      </c>
      <c r="E101" s="12">
        <v>5101005187</v>
      </c>
      <c r="F101" s="7">
        <v>692.52</v>
      </c>
      <c r="G101" s="12" t="s">
        <v>441</v>
      </c>
    </row>
    <row r="102" spans="3:7">
      <c r="C102" s="6" t="s">
        <v>425</v>
      </c>
      <c r="D102" s="12" t="s">
        <v>65</v>
      </c>
      <c r="E102" s="12">
        <v>5101009187</v>
      </c>
      <c r="F102" s="7">
        <v>4149.34</v>
      </c>
      <c r="G102" s="12" t="s">
        <v>441</v>
      </c>
    </row>
    <row r="103" spans="3:7">
      <c r="C103" s="6" t="s">
        <v>425</v>
      </c>
      <c r="D103" s="12" t="s">
        <v>65</v>
      </c>
      <c r="E103" s="12">
        <v>5101003587</v>
      </c>
      <c r="F103" s="7">
        <v>1254.45</v>
      </c>
      <c r="G103" s="12" t="s">
        <v>441</v>
      </c>
    </row>
    <row r="104" spans="3:7">
      <c r="C104" s="6" t="s">
        <v>425</v>
      </c>
      <c r="D104" s="12" t="s">
        <v>65</v>
      </c>
      <c r="E104" s="12">
        <v>5101003787</v>
      </c>
      <c r="F104" s="7">
        <v>1761.11</v>
      </c>
      <c r="G104" s="12" t="s">
        <v>441</v>
      </c>
    </row>
    <row r="105" spans="3:7">
      <c r="C105" s="6" t="s">
        <v>425</v>
      </c>
      <c r="D105" s="12" t="s">
        <v>65</v>
      </c>
      <c r="E105" s="12">
        <v>5101005087</v>
      </c>
      <c r="F105" s="7">
        <v>1862.16</v>
      </c>
      <c r="G105" s="12" t="s">
        <v>441</v>
      </c>
    </row>
    <row r="106" spans="3:7">
      <c r="C106" s="451" t="s">
        <v>56</v>
      </c>
      <c r="D106" s="451"/>
      <c r="E106" s="451"/>
      <c r="F106" s="59">
        <v>1166756.6399999999</v>
      </c>
      <c r="G106" s="58"/>
    </row>
    <row r="108" spans="3:7">
      <c r="C108" s="462" t="s">
        <v>450</v>
      </c>
      <c r="D108" s="462"/>
    </row>
    <row r="109" spans="3:7">
      <c r="C109" s="54" t="s">
        <v>423</v>
      </c>
      <c r="D109" s="55" t="s">
        <v>428</v>
      </c>
      <c r="E109" s="15"/>
    </row>
    <row r="110" spans="3:7">
      <c r="C110" s="6" t="s">
        <v>391</v>
      </c>
      <c r="D110" s="7">
        <v>903.86501746361228</v>
      </c>
      <c r="E110" s="96"/>
      <c r="F110" s="79"/>
      <c r="G110" s="3"/>
    </row>
    <row r="111" spans="3:7">
      <c r="C111" s="6" t="s">
        <v>297</v>
      </c>
      <c r="D111" s="7">
        <v>5311.4510905208508</v>
      </c>
      <c r="E111" s="96"/>
      <c r="F111" s="79"/>
      <c r="G111" s="3"/>
    </row>
    <row r="112" spans="3:7">
      <c r="C112" s="6" t="s">
        <v>516</v>
      </c>
      <c r="D112" s="7">
        <v>33594.545830797739</v>
      </c>
      <c r="E112" s="96"/>
      <c r="F112" s="79"/>
      <c r="G112" s="3"/>
    </row>
    <row r="113" spans="3:7">
      <c r="C113" s="6" t="s">
        <v>213</v>
      </c>
      <c r="D113" s="7">
        <v>20850.124350734524</v>
      </c>
      <c r="E113" s="96"/>
      <c r="F113" s="79"/>
      <c r="G113" s="3"/>
    </row>
    <row r="114" spans="3:7">
      <c r="C114" s="6" t="s">
        <v>295</v>
      </c>
      <c r="D114" s="7">
        <v>5461.4574979592599</v>
      </c>
      <c r="E114" s="96"/>
      <c r="F114" s="79"/>
    </row>
    <row r="115" spans="3:7">
      <c r="C115" s="6" t="s">
        <v>267</v>
      </c>
      <c r="D115" s="7">
        <v>9126.6649821900446</v>
      </c>
      <c r="E115" s="96"/>
      <c r="F115" s="79"/>
    </row>
    <row r="116" spans="3:7">
      <c r="C116" s="6" t="s">
        <v>361</v>
      </c>
      <c r="D116" s="7">
        <v>1773.2898199813401</v>
      </c>
      <c r="E116" s="96"/>
      <c r="F116" s="79"/>
    </row>
    <row r="117" spans="3:7">
      <c r="C117" s="6" t="s">
        <v>396</v>
      </c>
      <c r="D117" s="7">
        <v>757.68533420799849</v>
      </c>
      <c r="E117" s="96"/>
      <c r="F117" s="79"/>
    </row>
    <row r="118" spans="3:7">
      <c r="C118" s="6" t="s">
        <v>194</v>
      </c>
      <c r="D118" s="7">
        <v>30328.079858341785</v>
      </c>
      <c r="E118" s="96"/>
      <c r="F118" s="79"/>
    </row>
    <row r="119" spans="3:7">
      <c r="C119" s="6" t="s">
        <v>250</v>
      </c>
      <c r="D119" s="7">
        <v>11805.350721197603</v>
      </c>
      <c r="E119" s="96"/>
      <c r="F119" s="79"/>
    </row>
    <row r="120" spans="3:7">
      <c r="C120" s="6" t="s">
        <v>180</v>
      </c>
      <c r="D120" s="7">
        <v>45799.403287527028</v>
      </c>
      <c r="E120" s="96"/>
      <c r="F120" s="79"/>
    </row>
    <row r="121" spans="3:7">
      <c r="C121" s="6" t="s">
        <v>304</v>
      </c>
      <c r="D121" s="7">
        <v>4869.8505403280651</v>
      </c>
      <c r="E121" s="96"/>
      <c r="F121" s="79"/>
    </row>
    <row r="122" spans="3:7">
      <c r="C122" s="6" t="s">
        <v>517</v>
      </c>
      <c r="D122" s="7">
        <v>37444.199937412821</v>
      </c>
      <c r="E122" s="96"/>
      <c r="F122" s="79"/>
    </row>
    <row r="123" spans="3:7">
      <c r="C123" s="6" t="s">
        <v>356</v>
      </c>
      <c r="D123" s="7">
        <v>1891.9173615501736</v>
      </c>
      <c r="E123" s="96"/>
      <c r="F123" s="79"/>
    </row>
    <row r="124" spans="3:7">
      <c r="C124" s="6" t="s">
        <v>345</v>
      </c>
      <c r="D124" s="7">
        <v>2142.1832160995618</v>
      </c>
      <c r="E124" s="96"/>
      <c r="F124" s="79"/>
    </row>
    <row r="125" spans="3:7">
      <c r="C125" s="6" t="s">
        <v>197</v>
      </c>
      <c r="D125" s="7">
        <v>28505.808150440233</v>
      </c>
      <c r="E125" s="96"/>
      <c r="F125" s="79"/>
    </row>
    <row r="126" spans="3:7">
      <c r="C126" s="6" t="s">
        <v>277</v>
      </c>
      <c r="D126" s="7">
        <v>7261.5342358705293</v>
      </c>
      <c r="E126" s="96"/>
      <c r="F126" s="79"/>
    </row>
    <row r="127" spans="3:7">
      <c r="C127" s="6" t="s">
        <v>384</v>
      </c>
      <c r="D127" s="7">
        <v>1117.394531747658</v>
      </c>
      <c r="E127" s="96"/>
      <c r="F127" s="79"/>
    </row>
    <row r="128" spans="3:7">
      <c r="C128" s="6" t="s">
        <v>373</v>
      </c>
      <c r="D128" s="7">
        <v>1443.4288894479193</v>
      </c>
      <c r="E128" s="96"/>
      <c r="F128" s="79"/>
    </row>
    <row r="129" spans="3:6">
      <c r="C129" s="6" t="s">
        <v>401</v>
      </c>
      <c r="D129" s="7">
        <v>652.06856405088695</v>
      </c>
      <c r="E129" s="96"/>
      <c r="F129" s="79"/>
    </row>
    <row r="130" spans="3:6">
      <c r="C130" s="6" t="s">
        <v>143</v>
      </c>
      <c r="D130" s="7">
        <v>261383.85831730816</v>
      </c>
      <c r="E130" s="96"/>
      <c r="F130" s="79"/>
    </row>
    <row r="131" spans="3:6">
      <c r="C131" s="6" t="s">
        <v>235</v>
      </c>
      <c r="D131" s="7">
        <v>15466.731329895956</v>
      </c>
      <c r="E131" s="96"/>
      <c r="F131" s="79"/>
    </row>
    <row r="132" spans="3:6">
      <c r="C132" s="6" t="s">
        <v>414</v>
      </c>
      <c r="D132" s="7">
        <v>321.44225841098006</v>
      </c>
      <c r="E132" s="96"/>
      <c r="F132" s="79"/>
    </row>
    <row r="133" spans="3:6">
      <c r="C133" s="6" t="s">
        <v>399</v>
      </c>
      <c r="D133" s="7">
        <v>691.10087828605253</v>
      </c>
      <c r="E133" s="96"/>
      <c r="F133" s="79"/>
    </row>
    <row r="134" spans="3:6">
      <c r="C134" s="6" t="s">
        <v>412</v>
      </c>
      <c r="D134" s="7">
        <v>384.96536525661708</v>
      </c>
      <c r="E134" s="96"/>
      <c r="F134" s="79"/>
    </row>
    <row r="135" spans="3:6">
      <c r="C135" s="6" t="s">
        <v>203</v>
      </c>
      <c r="D135" s="7">
        <v>25301.334685966573</v>
      </c>
      <c r="E135" s="96"/>
      <c r="F135" s="79"/>
    </row>
    <row r="136" spans="3:6">
      <c r="C136" s="6" t="s">
        <v>288</v>
      </c>
      <c r="D136" s="7">
        <v>5961.9890557084</v>
      </c>
      <c r="E136" s="96"/>
      <c r="F136" s="79"/>
    </row>
    <row r="137" spans="3:6">
      <c r="C137" s="6" t="s">
        <v>211</v>
      </c>
      <c r="D137" s="7">
        <v>21414.944390435787</v>
      </c>
      <c r="E137" s="96"/>
      <c r="F137" s="79"/>
    </row>
    <row r="138" spans="3:6">
      <c r="C138" s="6" t="s">
        <v>255</v>
      </c>
      <c r="D138" s="7">
        <v>10511.928087838458</v>
      </c>
      <c r="E138" s="96"/>
      <c r="F138" s="79"/>
    </row>
    <row r="139" spans="3:6">
      <c r="C139" s="6" t="s">
        <v>341</v>
      </c>
      <c r="D139" s="7">
        <v>2208.0022969150214</v>
      </c>
      <c r="E139" s="96"/>
      <c r="F139" s="79"/>
    </row>
    <row r="140" spans="3:6">
      <c r="C140" s="6" t="s">
        <v>344</v>
      </c>
      <c r="D140" s="7">
        <v>2142.9485912060481</v>
      </c>
      <c r="E140" s="96"/>
      <c r="F140" s="79"/>
    </row>
    <row r="141" spans="3:6">
      <c r="C141" s="6" t="s">
        <v>140</v>
      </c>
      <c r="D141" s="7">
        <v>612271.02605887083</v>
      </c>
      <c r="E141" s="96"/>
      <c r="F141" s="79"/>
    </row>
    <row r="142" spans="3:6">
      <c r="C142" s="6" t="s">
        <v>260</v>
      </c>
      <c r="D142" s="7">
        <v>9686.8929226020264</v>
      </c>
      <c r="E142" s="96"/>
      <c r="F142" s="79"/>
    </row>
    <row r="143" spans="3:6">
      <c r="C143" s="6" t="s">
        <v>461</v>
      </c>
      <c r="D143" s="7">
        <v>95595.405891380855</v>
      </c>
      <c r="E143" s="96"/>
      <c r="F143" s="79"/>
    </row>
    <row r="144" spans="3:6">
      <c r="C144" s="6" t="s">
        <v>170</v>
      </c>
      <c r="D144" s="7">
        <v>53589.786749289597</v>
      </c>
      <c r="E144" s="96"/>
      <c r="F144" s="79"/>
    </row>
    <row r="145" spans="3:6">
      <c r="C145" s="6" t="s">
        <v>182</v>
      </c>
      <c r="D145" s="7">
        <v>43755.183393218984</v>
      </c>
      <c r="E145" s="96"/>
      <c r="F145" s="79"/>
    </row>
    <row r="146" spans="3:6">
      <c r="C146" s="6" t="s">
        <v>238</v>
      </c>
      <c r="D146" s="7">
        <v>14675.371155848559</v>
      </c>
      <c r="E146" s="96"/>
      <c r="F146" s="79"/>
    </row>
    <row r="147" spans="3:6">
      <c r="C147" s="6" t="s">
        <v>177</v>
      </c>
      <c r="D147" s="7">
        <v>50337.096923351841</v>
      </c>
      <c r="E147" s="96"/>
      <c r="F147" s="79"/>
    </row>
    <row r="148" spans="3:6">
      <c r="C148" s="6" t="s">
        <v>169</v>
      </c>
      <c r="D148" s="7">
        <v>54891.628054771187</v>
      </c>
      <c r="E148" s="96"/>
      <c r="F148" s="79"/>
    </row>
    <row r="149" spans="3:6">
      <c r="C149" s="6" t="s">
        <v>169</v>
      </c>
      <c r="D149" s="7">
        <v>54362.778980228773</v>
      </c>
      <c r="E149" s="96"/>
      <c r="F149" s="79"/>
    </row>
    <row r="150" spans="3:6">
      <c r="C150" s="6" t="s">
        <v>158</v>
      </c>
      <c r="D150" s="7">
        <v>102289.05888982346</v>
      </c>
      <c r="E150" s="96"/>
      <c r="F150" s="79"/>
    </row>
    <row r="151" spans="3:6">
      <c r="C151" s="6" t="s">
        <v>324</v>
      </c>
      <c r="D151" s="7">
        <v>3468.5153141916198</v>
      </c>
      <c r="E151" s="96"/>
      <c r="F151" s="79"/>
    </row>
    <row r="152" spans="3:6">
      <c r="C152" s="6" t="s">
        <v>252</v>
      </c>
      <c r="D152" s="7">
        <v>11675.243007080384</v>
      </c>
      <c r="E152" s="96"/>
      <c r="F152" s="79"/>
    </row>
    <row r="153" spans="3:6">
      <c r="C153" s="6" t="s">
        <v>252</v>
      </c>
      <c r="D153" s="7">
        <v>4974.7020867283263</v>
      </c>
      <c r="E153" s="96"/>
      <c r="F153" s="79"/>
    </row>
    <row r="154" spans="3:6">
      <c r="C154" s="6" t="s">
        <v>200</v>
      </c>
      <c r="D154" s="7">
        <v>27980.785800080615</v>
      </c>
      <c r="E154" s="96"/>
      <c r="F154" s="79"/>
    </row>
    <row r="155" spans="3:6">
      <c r="C155" s="6" t="s">
        <v>167</v>
      </c>
      <c r="D155" s="7">
        <v>57311.62926710691</v>
      </c>
      <c r="E155" s="96"/>
      <c r="F155" s="79"/>
    </row>
    <row r="156" spans="3:6">
      <c r="C156" s="6" t="s">
        <v>205</v>
      </c>
      <c r="D156" s="7">
        <v>24567.374920612194</v>
      </c>
      <c r="E156" s="96"/>
      <c r="F156" s="79"/>
    </row>
    <row r="157" spans="3:6">
      <c r="C157" s="6" t="s">
        <v>240</v>
      </c>
      <c r="D157" s="7">
        <v>14319.488531142062</v>
      </c>
      <c r="E157" s="96"/>
      <c r="F157" s="79"/>
    </row>
    <row r="158" spans="3:6">
      <c r="C158" s="6" t="s">
        <v>322</v>
      </c>
      <c r="D158" s="7">
        <v>3523.6197489148162</v>
      </c>
      <c r="E158" s="96"/>
      <c r="F158" s="79"/>
    </row>
    <row r="159" spans="3:6">
      <c r="C159" s="6" t="s">
        <v>381</v>
      </c>
      <c r="D159" s="7">
        <v>1247.5020945152407</v>
      </c>
      <c r="E159" s="96"/>
      <c r="F159" s="79"/>
    </row>
    <row r="160" spans="3:6">
      <c r="C160" s="6" t="s">
        <v>146</v>
      </c>
      <c r="D160" s="7">
        <v>188753.97322618112</v>
      </c>
      <c r="E160" s="96"/>
      <c r="F160" s="79"/>
    </row>
    <row r="161" spans="3:6">
      <c r="C161" s="6" t="s">
        <v>294</v>
      </c>
      <c r="D161" s="7">
        <v>5484.4176917063942</v>
      </c>
      <c r="E161" s="96"/>
      <c r="F161" s="79"/>
    </row>
    <row r="162" spans="3:6">
      <c r="C162" s="6" t="s">
        <v>274</v>
      </c>
      <c r="D162" s="7">
        <v>8021.5156953979867</v>
      </c>
      <c r="E162" s="96"/>
      <c r="F162" s="79"/>
    </row>
    <row r="163" spans="3:6">
      <c r="C163" s="6" t="s">
        <v>209</v>
      </c>
      <c r="D163" s="7">
        <v>22184.109897192171</v>
      </c>
      <c r="E163" s="96"/>
      <c r="F163" s="79"/>
    </row>
    <row r="164" spans="3:6">
      <c r="C164" s="6" t="s">
        <v>248</v>
      </c>
      <c r="D164" s="7">
        <v>12727.58383311907</v>
      </c>
      <c r="E164" s="96"/>
      <c r="F164" s="79"/>
    </row>
    <row r="165" spans="3:6">
      <c r="C165" s="6" t="s">
        <v>418</v>
      </c>
      <c r="D165" s="7">
        <v>92.605847395754182</v>
      </c>
      <c r="E165" s="96"/>
      <c r="F165" s="79"/>
    </row>
    <row r="166" spans="3:6">
      <c r="C166" s="6" t="s">
        <v>217</v>
      </c>
      <c r="D166" s="7">
        <v>18945.961441529475</v>
      </c>
      <c r="E166" s="96"/>
      <c r="F166" s="79"/>
    </row>
    <row r="167" spans="3:6">
      <c r="C167" s="6" t="s">
        <v>276</v>
      </c>
      <c r="D167" s="7">
        <v>7266.8917102662963</v>
      </c>
      <c r="E167" s="96"/>
      <c r="F167" s="79"/>
    </row>
    <row r="168" spans="3:6">
      <c r="C168" s="6" t="s">
        <v>330</v>
      </c>
      <c r="D168" s="7">
        <v>2687.8697862364866</v>
      </c>
      <c r="E168" s="96"/>
      <c r="F168" s="79"/>
    </row>
    <row r="169" spans="3:6">
      <c r="C169" s="6" t="s">
        <v>417</v>
      </c>
      <c r="D169" s="7">
        <v>120.15814043217006</v>
      </c>
      <c r="E169" s="96"/>
      <c r="F169" s="79"/>
    </row>
    <row r="170" spans="3:6">
      <c r="C170" s="6" t="s">
        <v>161</v>
      </c>
      <c r="D170" s="7">
        <v>76981.601354354614</v>
      </c>
      <c r="E170" s="96"/>
      <c r="F170" s="79"/>
    </row>
    <row r="171" spans="3:6">
      <c r="C171" s="6" t="s">
        <v>370</v>
      </c>
      <c r="D171" s="7">
        <v>1515.370668415997</v>
      </c>
      <c r="E171" s="96"/>
      <c r="F171" s="79"/>
    </row>
    <row r="172" spans="3:6">
      <c r="C172" s="6" t="s">
        <v>212</v>
      </c>
      <c r="D172" s="7">
        <v>21092.736756918319</v>
      </c>
      <c r="E172" s="96"/>
      <c r="F172" s="79"/>
    </row>
    <row r="173" spans="3:6">
      <c r="C173" s="6" t="s">
        <v>216</v>
      </c>
      <c r="D173" s="7">
        <v>18995.708553206543</v>
      </c>
      <c r="E173" s="96"/>
      <c r="F173" s="79"/>
    </row>
    <row r="174" spans="3:6">
      <c r="C174" s="6" t="s">
        <v>264</v>
      </c>
      <c r="D174" s="7">
        <v>9252.2353855860147</v>
      </c>
      <c r="E174" s="96"/>
      <c r="F174" s="79"/>
    </row>
    <row r="175" spans="3:6">
      <c r="C175" s="6" t="s">
        <v>272</v>
      </c>
      <c r="D175" s="7">
        <v>8231.9838606057219</v>
      </c>
      <c r="E175" s="96"/>
      <c r="F175" s="79"/>
    </row>
    <row r="176" spans="3:6">
      <c r="C176" s="6" t="s">
        <v>236</v>
      </c>
      <c r="D176" s="7">
        <v>15380.248029303186</v>
      </c>
      <c r="E176" s="96"/>
      <c r="F176" s="79"/>
    </row>
    <row r="177" spans="3:6">
      <c r="C177" s="6" t="s">
        <v>236</v>
      </c>
      <c r="D177" s="7">
        <v>13778.394060294417</v>
      </c>
      <c r="E177" s="96"/>
      <c r="F177" s="79"/>
    </row>
    <row r="178" spans="3:6">
      <c r="C178" s="6" t="s">
        <v>249</v>
      </c>
      <c r="D178" s="7">
        <v>11982.909270322793</v>
      </c>
      <c r="E178" s="96"/>
      <c r="F178" s="79"/>
    </row>
    <row r="179" spans="3:6">
      <c r="C179" s="6" t="s">
        <v>333</v>
      </c>
      <c r="D179" s="7">
        <v>2540.9247278743869</v>
      </c>
      <c r="E179" s="96"/>
      <c r="F179" s="79"/>
    </row>
    <row r="180" spans="3:6">
      <c r="C180" s="6" t="s">
        <v>374</v>
      </c>
      <c r="D180" s="7">
        <v>1425.0607949900657</v>
      </c>
      <c r="E180" s="96"/>
      <c r="F180" s="79"/>
    </row>
    <row r="181" spans="3:6">
      <c r="C181" s="6" t="s">
        <v>365</v>
      </c>
      <c r="D181" s="7">
        <v>1571.2404782456792</v>
      </c>
      <c r="E181" s="96"/>
      <c r="F181" s="79"/>
    </row>
    <row r="182" spans="3:6">
      <c r="C182" s="6" t="s">
        <v>176</v>
      </c>
      <c r="D182" s="7">
        <v>50437.356370462832</v>
      </c>
      <c r="E182" s="96"/>
      <c r="F182" s="79"/>
    </row>
    <row r="183" spans="3:6">
      <c r="C183" s="6" t="s">
        <v>386</v>
      </c>
      <c r="D183" s="7">
        <v>1109.7412347317036</v>
      </c>
      <c r="E183" s="96"/>
      <c r="F183" s="79"/>
    </row>
    <row r="184" spans="3:6">
      <c r="C184" s="6" t="s">
        <v>305</v>
      </c>
      <c r="D184" s="7">
        <v>4756.5804731549988</v>
      </c>
      <c r="E184" s="96"/>
      <c r="F184" s="79"/>
    </row>
    <row r="185" spans="3:6">
      <c r="C185" s="6" t="s">
        <v>331</v>
      </c>
      <c r="D185" s="7">
        <v>2634.2959503766274</v>
      </c>
      <c r="E185" s="96"/>
      <c r="F185" s="79"/>
    </row>
    <row r="186" spans="3:6">
      <c r="C186" s="6" t="s">
        <v>340</v>
      </c>
      <c r="D186" s="7">
        <v>2216.4209690374628</v>
      </c>
      <c r="E186" s="96"/>
      <c r="F186" s="79"/>
    </row>
    <row r="187" spans="3:6">
      <c r="C187" s="6" t="s">
        <v>153</v>
      </c>
      <c r="D187" s="7">
        <v>126307.68589122241</v>
      </c>
      <c r="E187" s="96"/>
      <c r="F187" s="79"/>
    </row>
    <row r="188" spans="3:6">
      <c r="C188" s="6" t="s">
        <v>168</v>
      </c>
      <c r="D188" s="7">
        <v>55226.081084593883</v>
      </c>
      <c r="E188" s="96"/>
      <c r="F188" s="79"/>
    </row>
    <row r="189" spans="3:6">
      <c r="C189" s="6" t="s">
        <v>266</v>
      </c>
      <c r="D189" s="7">
        <v>9133.5529040995116</v>
      </c>
      <c r="E189" s="96"/>
      <c r="F189" s="79"/>
    </row>
    <row r="190" spans="3:6">
      <c r="C190" s="6" t="s">
        <v>314</v>
      </c>
      <c r="D190" s="7">
        <v>3959.8628247118349</v>
      </c>
      <c r="E190" s="96"/>
      <c r="F190" s="79"/>
    </row>
    <row r="191" spans="3:6">
      <c r="C191" s="6" t="s">
        <v>308</v>
      </c>
      <c r="D191" s="7">
        <v>4454.2716843083581</v>
      </c>
      <c r="E191" s="96"/>
      <c r="F191" s="79"/>
    </row>
    <row r="192" spans="3:6">
      <c r="C192" s="6" t="s">
        <v>421</v>
      </c>
      <c r="D192" s="7">
        <v>39.797537992016174</v>
      </c>
      <c r="E192" s="96"/>
      <c r="F192" s="79"/>
    </row>
    <row r="193" spans="3:6">
      <c r="C193" s="6" t="s">
        <v>393</v>
      </c>
      <c r="D193" s="7">
        <v>795.95227333667788</v>
      </c>
      <c r="E193" s="96"/>
      <c r="F193" s="79"/>
    </row>
    <row r="194" spans="3:6">
      <c r="C194" s="6" t="s">
        <v>261</v>
      </c>
      <c r="D194" s="7">
        <v>9447.3418654945363</v>
      </c>
      <c r="E194" s="96"/>
      <c r="F194" s="79"/>
    </row>
    <row r="195" spans="3:6">
      <c r="C195" s="6" t="s">
        <v>269</v>
      </c>
      <c r="D195" s="7">
        <v>8689.6565312865387</v>
      </c>
      <c r="E195" s="96"/>
      <c r="F195" s="79"/>
    </row>
    <row r="196" spans="3:6">
      <c r="C196" s="6" t="s">
        <v>377</v>
      </c>
      <c r="D196" s="7">
        <v>1358.4763390681198</v>
      </c>
      <c r="E196" s="96"/>
      <c r="F196" s="79"/>
    </row>
    <row r="197" spans="3:6">
      <c r="C197" s="6" t="s">
        <v>156</v>
      </c>
      <c r="D197" s="7">
        <v>119622.45171625189</v>
      </c>
      <c r="E197" s="96"/>
      <c r="F197" s="79"/>
    </row>
    <row r="198" spans="3:6">
      <c r="C198" s="6" t="s">
        <v>291</v>
      </c>
      <c r="D198" s="7">
        <v>5735.4487700126338</v>
      </c>
      <c r="E198" s="96"/>
      <c r="F198" s="79"/>
    </row>
    <row r="199" spans="3:6">
      <c r="C199" s="6" t="s">
        <v>337</v>
      </c>
      <c r="D199" s="7">
        <v>2390.9183204359783</v>
      </c>
      <c r="E199" s="96"/>
      <c r="F199" s="79"/>
    </row>
    <row r="200" spans="3:6">
      <c r="C200" s="6" t="s">
        <v>270</v>
      </c>
      <c r="D200" s="7">
        <v>8679.7071089511264</v>
      </c>
      <c r="E200" s="96"/>
      <c r="F200" s="79"/>
    </row>
    <row r="201" spans="3:6">
      <c r="C201" s="6" t="s">
        <v>229</v>
      </c>
      <c r="D201" s="7">
        <v>16629.281025381035</v>
      </c>
      <c r="E201" s="96"/>
      <c r="F201" s="79"/>
    </row>
    <row r="202" spans="3:6">
      <c r="C202" s="6" t="s">
        <v>195</v>
      </c>
      <c r="D202" s="7">
        <v>29162.468965130036</v>
      </c>
      <c r="E202" s="96"/>
      <c r="F202" s="79"/>
    </row>
    <row r="203" spans="3:6">
      <c r="C203" s="6" t="s">
        <v>296</v>
      </c>
      <c r="D203" s="7">
        <v>5326.7578359023946</v>
      </c>
      <c r="E203" s="96"/>
      <c r="F203" s="79"/>
    </row>
    <row r="204" spans="3:6">
      <c r="C204" s="6" t="s">
        <v>350</v>
      </c>
      <c r="D204" s="7">
        <v>2024.3210496372144</v>
      </c>
      <c r="E204" s="96"/>
      <c r="F204" s="79"/>
    </row>
    <row r="205" spans="3:6">
      <c r="C205" s="6" t="s">
        <v>382</v>
      </c>
      <c r="D205" s="7">
        <v>1209.2351553865615</v>
      </c>
      <c r="E205" s="96"/>
      <c r="F205" s="79"/>
    </row>
    <row r="206" spans="3:6">
      <c r="C206" s="6" t="s">
        <v>152</v>
      </c>
      <c r="D206" s="7">
        <v>135777.22272670723</v>
      </c>
      <c r="E206" s="96"/>
      <c r="F206" s="79"/>
    </row>
    <row r="207" spans="3:6">
      <c r="C207" s="6" t="s">
        <v>326</v>
      </c>
      <c r="D207" s="7">
        <v>3352.9491216990955</v>
      </c>
      <c r="E207" s="96"/>
      <c r="F207" s="79"/>
    </row>
    <row r="208" spans="3:6">
      <c r="C208" s="6" t="s">
        <v>335</v>
      </c>
      <c r="D208" s="7">
        <v>2459.0333752212609</v>
      </c>
      <c r="E208" s="96"/>
      <c r="F208" s="79"/>
    </row>
    <row r="209" spans="3:6">
      <c r="C209" s="6" t="s">
        <v>363</v>
      </c>
      <c r="D209" s="7">
        <v>1714.3588124249841</v>
      </c>
      <c r="E209" s="96"/>
      <c r="F209" s="79"/>
    </row>
    <row r="210" spans="3:6">
      <c r="C210" s="6" t="s">
        <v>144</v>
      </c>
      <c r="D210" s="7">
        <v>247577.91196397733</v>
      </c>
      <c r="E210" s="96"/>
      <c r="F210" s="79"/>
    </row>
    <row r="211" spans="3:6">
      <c r="C211" s="6" t="s">
        <v>389</v>
      </c>
      <c r="D211" s="7">
        <v>1000.297740391797</v>
      </c>
      <c r="E211" s="96"/>
      <c r="F211" s="79"/>
    </row>
    <row r="212" spans="3:6">
      <c r="C212" s="6" t="s">
        <v>319</v>
      </c>
      <c r="D212" s="7">
        <v>3744.8025602148168</v>
      </c>
      <c r="E212" s="96"/>
      <c r="F212" s="79"/>
    </row>
    <row r="213" spans="3:6">
      <c r="C213" s="6" t="s">
        <v>187</v>
      </c>
      <c r="D213" s="7">
        <v>35677.797887991306</v>
      </c>
      <c r="E213" s="96"/>
      <c r="F213" s="79"/>
    </row>
    <row r="214" spans="3:6">
      <c r="C214" s="6" t="s">
        <v>227</v>
      </c>
      <c r="D214" s="7">
        <v>17272.930917309481</v>
      </c>
      <c r="E214" s="96"/>
      <c r="F214" s="79"/>
    </row>
    <row r="215" spans="3:6">
      <c r="C215" s="6" t="s">
        <v>293</v>
      </c>
      <c r="D215" s="7">
        <v>5565.5435179033984</v>
      </c>
      <c r="E215" s="96"/>
      <c r="F215" s="79"/>
    </row>
    <row r="216" spans="3:6">
      <c r="C216" s="6" t="s">
        <v>184</v>
      </c>
      <c r="D216" s="7">
        <v>41523.455527450336</v>
      </c>
      <c r="E216" s="96"/>
      <c r="F216" s="79"/>
    </row>
    <row r="217" spans="3:6">
      <c r="C217" s="6" t="s">
        <v>282</v>
      </c>
      <c r="D217" s="7">
        <v>6850.5473277904694</v>
      </c>
      <c r="E217" s="96"/>
      <c r="F217" s="79"/>
    </row>
    <row r="218" spans="3:6">
      <c r="C218" s="6" t="s">
        <v>409</v>
      </c>
      <c r="D218" s="7">
        <v>468.38731677307993</v>
      </c>
      <c r="E218" s="96"/>
      <c r="F218" s="79"/>
    </row>
    <row r="219" spans="3:6">
      <c r="C219" s="6" t="s">
        <v>202</v>
      </c>
      <c r="D219" s="7">
        <v>25558.488613775065</v>
      </c>
      <c r="E219" s="96"/>
      <c r="F219" s="79"/>
    </row>
    <row r="220" spans="3:6">
      <c r="C220" s="6" t="s">
        <v>147</v>
      </c>
      <c r="D220" s="7">
        <v>186667.6596685616</v>
      </c>
      <c r="E220" s="96"/>
      <c r="F220" s="79"/>
    </row>
    <row r="221" spans="3:6">
      <c r="C221" s="6" t="s">
        <v>307</v>
      </c>
      <c r="D221" s="7">
        <v>4686.1692930502577</v>
      </c>
      <c r="E221" s="96"/>
      <c r="F221" s="79"/>
    </row>
    <row r="222" spans="3:6">
      <c r="C222" s="6" t="s">
        <v>352</v>
      </c>
      <c r="D222" s="7">
        <v>1955.4404683958105</v>
      </c>
      <c r="E222" s="96"/>
      <c r="F222" s="79"/>
    </row>
    <row r="223" spans="3:6">
      <c r="C223" s="6" t="s">
        <v>312</v>
      </c>
      <c r="D223" s="7">
        <v>4018.0286085113403</v>
      </c>
      <c r="E223" s="96"/>
      <c r="F223" s="79"/>
    </row>
    <row r="224" spans="3:6">
      <c r="C224" s="6" t="s">
        <v>243</v>
      </c>
      <c r="D224" s="7">
        <v>13776.098086324595</v>
      </c>
      <c r="E224" s="96"/>
      <c r="F224" s="79"/>
    </row>
    <row r="225" spans="3:6">
      <c r="C225" s="6" t="s">
        <v>413</v>
      </c>
      <c r="D225" s="7">
        <v>382.66939128679428</v>
      </c>
      <c r="E225" s="96"/>
      <c r="F225" s="79"/>
    </row>
    <row r="226" spans="3:6">
      <c r="C226" s="6" t="s">
        <v>329</v>
      </c>
      <c r="D226" s="7">
        <v>3030.7414881816294</v>
      </c>
      <c r="E226" s="96"/>
      <c r="F226" s="79"/>
    </row>
    <row r="227" spans="3:6">
      <c r="C227" s="6" t="s">
        <v>159</v>
      </c>
      <c r="D227" s="7">
        <v>93937.682112542403</v>
      </c>
      <c r="E227" s="96"/>
      <c r="F227" s="79"/>
    </row>
    <row r="228" spans="3:6">
      <c r="C228" s="6" t="s">
        <v>214</v>
      </c>
      <c r="D228" s="7">
        <v>20569.245005422046</v>
      </c>
      <c r="E228" s="96"/>
      <c r="F228" s="79"/>
    </row>
    <row r="229" spans="3:6">
      <c r="C229" s="6" t="s">
        <v>283</v>
      </c>
      <c r="D229" s="7">
        <v>6353.8424942241218</v>
      </c>
      <c r="E229" s="96"/>
      <c r="F229" s="79"/>
    </row>
    <row r="230" spans="3:6">
      <c r="C230" s="6" t="s">
        <v>141</v>
      </c>
      <c r="D230" s="7">
        <v>553837.4100093774</v>
      </c>
      <c r="E230" s="96"/>
      <c r="F230" s="79"/>
    </row>
    <row r="231" spans="3:6">
      <c r="C231" s="6" t="s">
        <v>188</v>
      </c>
      <c r="D231" s="7">
        <v>33394.027087925417</v>
      </c>
      <c r="E231" s="96"/>
      <c r="F231" s="79"/>
    </row>
    <row r="232" spans="3:6">
      <c r="C232" s="6" t="s">
        <v>224</v>
      </c>
      <c r="D232" s="7">
        <v>17846.169629133186</v>
      </c>
      <c r="E232" s="96"/>
      <c r="F232" s="79"/>
    </row>
    <row r="233" spans="3:6">
      <c r="C233" s="6" t="s">
        <v>410</v>
      </c>
      <c r="D233" s="7">
        <v>459.20326954415316</v>
      </c>
      <c r="E233" s="96"/>
      <c r="F233" s="79"/>
    </row>
    <row r="234" spans="3:6">
      <c r="C234" s="6" t="s">
        <v>403</v>
      </c>
      <c r="D234" s="7">
        <v>627.57777144041552</v>
      </c>
      <c r="E234" s="96"/>
      <c r="F234" s="79"/>
    </row>
    <row r="235" spans="3:6">
      <c r="C235" s="6" t="s">
        <v>221</v>
      </c>
      <c r="D235" s="7">
        <v>18417.112366987069</v>
      </c>
      <c r="E235" s="96"/>
      <c r="F235" s="79"/>
    </row>
    <row r="236" spans="3:6">
      <c r="C236" s="6" t="s">
        <v>318</v>
      </c>
      <c r="D236" s="7">
        <v>3766.9973788554653</v>
      </c>
      <c r="E236" s="96"/>
      <c r="F236" s="79"/>
    </row>
    <row r="237" spans="3:6">
      <c r="C237" s="6" t="s">
        <v>148</v>
      </c>
      <c r="D237" s="7">
        <v>154609.91410106365</v>
      </c>
      <c r="E237" s="96"/>
      <c r="F237" s="79"/>
    </row>
    <row r="238" spans="3:6">
      <c r="C238" s="6" t="s">
        <v>336</v>
      </c>
      <c r="D238" s="7">
        <v>2423.8277851688904</v>
      </c>
      <c r="E238" s="96"/>
      <c r="F238" s="79"/>
    </row>
    <row r="239" spans="3:6">
      <c r="C239" s="6" t="s">
        <v>289</v>
      </c>
      <c r="D239" s="7">
        <v>5841.8309152762304</v>
      </c>
      <c r="E239" s="96"/>
      <c r="F239" s="79"/>
    </row>
    <row r="240" spans="3:6">
      <c r="C240" s="6" t="s">
        <v>379</v>
      </c>
      <c r="D240" s="7">
        <v>1262.8089912464211</v>
      </c>
      <c r="E240" s="96"/>
      <c r="F240" s="79"/>
    </row>
    <row r="241" spans="3:6">
      <c r="C241" s="6" t="s">
        <v>150</v>
      </c>
      <c r="D241" s="7">
        <v>149277.03341565898</v>
      </c>
      <c r="E241" s="96"/>
      <c r="F241" s="79"/>
    </row>
    <row r="242" spans="3:6">
      <c r="C242" s="6" t="s">
        <v>411</v>
      </c>
      <c r="D242" s="7">
        <v>438.53904976684129</v>
      </c>
      <c r="E242" s="96"/>
      <c r="F242" s="79"/>
    </row>
    <row r="243" spans="3:6">
      <c r="C243" s="6" t="s">
        <v>215</v>
      </c>
      <c r="D243" s="7">
        <v>20076.366896038493</v>
      </c>
      <c r="E243" s="96"/>
      <c r="F243" s="79"/>
    </row>
    <row r="244" spans="3:6">
      <c r="C244" s="6" t="s">
        <v>253</v>
      </c>
      <c r="D244" s="7">
        <v>11097.412347317033</v>
      </c>
      <c r="E244" s="96"/>
      <c r="F244" s="79"/>
    </row>
    <row r="245" spans="3:6">
      <c r="C245" s="6" t="s">
        <v>404</v>
      </c>
      <c r="D245" s="7">
        <v>535.73714780151204</v>
      </c>
      <c r="E245" s="96"/>
      <c r="F245" s="79"/>
    </row>
    <row r="246" spans="3:6">
      <c r="C246" s="6" t="s">
        <v>298</v>
      </c>
      <c r="D246" s="7">
        <v>5211.9570185163566</v>
      </c>
      <c r="E246" s="96"/>
      <c r="F246" s="79"/>
    </row>
    <row r="247" spans="3:6">
      <c r="C247" s="6" t="s">
        <v>300</v>
      </c>
      <c r="D247" s="7">
        <v>5104.8096494959082</v>
      </c>
      <c r="E247" s="96"/>
      <c r="F247" s="79"/>
    </row>
    <row r="248" spans="3:6">
      <c r="C248" s="6" t="s">
        <v>366</v>
      </c>
      <c r="D248" s="7">
        <v>1538.3308621631315</v>
      </c>
      <c r="E248" s="96"/>
      <c r="F248" s="79"/>
    </row>
    <row r="249" spans="3:6">
      <c r="C249" s="6" t="s">
        <v>369</v>
      </c>
      <c r="D249" s="7">
        <v>1526.8508409643821</v>
      </c>
      <c r="E249" s="96"/>
      <c r="F249" s="79"/>
    </row>
    <row r="250" spans="3:6">
      <c r="C250" s="6" t="s">
        <v>268</v>
      </c>
      <c r="D250" s="7">
        <v>8750.8835128127193</v>
      </c>
      <c r="E250" s="96"/>
      <c r="F250" s="79"/>
    </row>
    <row r="251" spans="3:6">
      <c r="C251" s="6" t="s">
        <v>186</v>
      </c>
      <c r="D251" s="7">
        <v>36770.701778478135</v>
      </c>
      <c r="E251" s="96"/>
      <c r="F251" s="79"/>
    </row>
    <row r="252" spans="3:6">
      <c r="C252" s="6" t="s">
        <v>362</v>
      </c>
      <c r="D252" s="7">
        <v>1718.95076036463</v>
      </c>
      <c r="E252" s="96"/>
      <c r="F252" s="79"/>
    </row>
    <row r="253" spans="3:6">
      <c r="C253" s="6" t="s">
        <v>181</v>
      </c>
      <c r="D253" s="7">
        <v>45471.072955856944</v>
      </c>
      <c r="E253" s="96"/>
      <c r="F253" s="79"/>
    </row>
    <row r="254" spans="3:6">
      <c r="C254" s="6" t="s">
        <v>193</v>
      </c>
      <c r="D254" s="7">
        <v>31460.781286820624</v>
      </c>
      <c r="E254" s="96"/>
      <c r="F254" s="79"/>
    </row>
    <row r="255" spans="3:6">
      <c r="C255" s="6" t="s">
        <v>259</v>
      </c>
      <c r="D255" s="7">
        <v>10053.49019340079</v>
      </c>
      <c r="E255" s="96"/>
      <c r="F255" s="79"/>
    </row>
    <row r="256" spans="3:6">
      <c r="C256" s="6" t="s">
        <v>174</v>
      </c>
      <c r="D256" s="7">
        <v>51030.493926957344</v>
      </c>
      <c r="E256" s="96"/>
      <c r="F256" s="79"/>
    </row>
    <row r="257" spans="3:6">
      <c r="C257" s="6" t="s">
        <v>223</v>
      </c>
      <c r="D257" s="7">
        <v>18198.990904763377</v>
      </c>
      <c r="E257" s="96"/>
      <c r="F257" s="79"/>
    </row>
    <row r="258" spans="3:6">
      <c r="C258" s="6" t="s">
        <v>317</v>
      </c>
      <c r="D258" s="7">
        <v>3824.3977875484843</v>
      </c>
      <c r="E258" s="96"/>
      <c r="F258" s="79"/>
    </row>
    <row r="259" spans="3:6">
      <c r="C259" s="6" t="s">
        <v>367</v>
      </c>
      <c r="D259" s="7">
        <v>1530.6775651471771</v>
      </c>
      <c r="E259" s="96"/>
      <c r="F259" s="79"/>
    </row>
    <row r="260" spans="3:6">
      <c r="C260" s="6" t="s">
        <v>275</v>
      </c>
      <c r="D260" s="7">
        <v>7469.7064271084437</v>
      </c>
      <c r="E260" s="96"/>
      <c r="F260" s="79"/>
    </row>
    <row r="261" spans="3:6">
      <c r="C261" s="6" t="s">
        <v>388</v>
      </c>
      <c r="D261" s="7">
        <v>1046.9833516429169</v>
      </c>
      <c r="E261" s="96"/>
      <c r="F261" s="79"/>
    </row>
    <row r="262" spans="3:6">
      <c r="C262" s="6" t="s">
        <v>151</v>
      </c>
      <c r="D262" s="7">
        <v>140483.2908644283</v>
      </c>
      <c r="E262" s="96"/>
      <c r="F262" s="79"/>
    </row>
    <row r="263" spans="3:6">
      <c r="C263" s="6" t="s">
        <v>309</v>
      </c>
      <c r="D263" s="7">
        <v>4361.665685562969</v>
      </c>
      <c r="E263" s="96"/>
      <c r="F263" s="79"/>
    </row>
    <row r="264" spans="3:6">
      <c r="C264" s="6" t="s">
        <v>201</v>
      </c>
      <c r="D264" s="7">
        <v>25798.03967088255</v>
      </c>
      <c r="E264" s="96"/>
      <c r="F264" s="79"/>
    </row>
    <row r="265" spans="3:6">
      <c r="C265" s="6" t="s">
        <v>201</v>
      </c>
      <c r="D265" s="7">
        <v>605.38295279976694</v>
      </c>
      <c r="E265" s="96"/>
      <c r="F265" s="79"/>
    </row>
    <row r="266" spans="3:6">
      <c r="C266" s="6" t="s">
        <v>245</v>
      </c>
      <c r="D266" s="7">
        <v>13300.057321185925</v>
      </c>
      <c r="E266" s="96"/>
      <c r="F266" s="79"/>
    </row>
    <row r="267" spans="3:6">
      <c r="C267" s="6" t="s">
        <v>228</v>
      </c>
      <c r="D267" s="7">
        <v>16781.583406789265</v>
      </c>
      <c r="E267" s="96"/>
      <c r="F267" s="79"/>
    </row>
    <row r="268" spans="3:6">
      <c r="C268" s="6" t="s">
        <v>375</v>
      </c>
      <c r="D268" s="7">
        <v>1420.4686957007846</v>
      </c>
      <c r="E268" s="96"/>
      <c r="F268" s="79"/>
    </row>
    <row r="269" spans="3:6">
      <c r="C269" s="6" t="s">
        <v>162</v>
      </c>
      <c r="D269" s="7">
        <v>76898.944777944649</v>
      </c>
      <c r="E269" s="96"/>
      <c r="F269" s="79"/>
    </row>
    <row r="270" spans="3:6">
      <c r="C270" s="6" t="s">
        <v>407</v>
      </c>
      <c r="D270" s="7">
        <v>508.95022987158217</v>
      </c>
      <c r="E270" s="96"/>
      <c r="F270" s="79"/>
    </row>
    <row r="271" spans="3:6">
      <c r="C271" s="6" t="s">
        <v>387</v>
      </c>
      <c r="D271" s="7">
        <v>1106.679734305759</v>
      </c>
      <c r="E271" s="96"/>
      <c r="F271" s="79"/>
    </row>
    <row r="272" spans="3:6">
      <c r="C272" s="6" t="s">
        <v>398</v>
      </c>
      <c r="D272" s="7">
        <v>732.42916649104097</v>
      </c>
      <c r="E272" s="96"/>
      <c r="F272" s="79"/>
    </row>
    <row r="273" spans="3:6">
      <c r="C273" s="6" t="s">
        <v>364</v>
      </c>
      <c r="D273" s="7">
        <v>1668.4384249307147</v>
      </c>
      <c r="E273" s="96"/>
      <c r="F273" s="79"/>
    </row>
    <row r="274" spans="3:6">
      <c r="C274" s="6" t="s">
        <v>395</v>
      </c>
      <c r="D274" s="7">
        <v>765.33878257358856</v>
      </c>
      <c r="E274" s="96"/>
      <c r="F274" s="79"/>
    </row>
    <row r="275" spans="3:6">
      <c r="C275" s="6" t="s">
        <v>358</v>
      </c>
      <c r="D275" s="7">
        <v>1813.0875093229918</v>
      </c>
      <c r="E275" s="96"/>
      <c r="F275" s="79"/>
    </row>
    <row r="276" spans="3:6">
      <c r="C276" s="6" t="s">
        <v>239</v>
      </c>
      <c r="D276" s="7">
        <v>14568.223635478478</v>
      </c>
      <c r="E276" s="96"/>
      <c r="F276" s="79"/>
    </row>
    <row r="277" spans="3:6">
      <c r="C277" s="6" t="s">
        <v>254</v>
      </c>
      <c r="D277" s="7">
        <v>10523.423395350388</v>
      </c>
      <c r="E277" s="96"/>
      <c r="F277" s="79"/>
    </row>
    <row r="278" spans="3:6">
      <c r="C278" s="6" t="s">
        <v>284</v>
      </c>
      <c r="D278" s="7">
        <v>6316.340930201929</v>
      </c>
      <c r="E278" s="96"/>
      <c r="F278" s="79"/>
    </row>
    <row r="279" spans="3:6">
      <c r="C279" s="6" t="s">
        <v>258</v>
      </c>
      <c r="D279" s="7">
        <v>10290.745125188821</v>
      </c>
      <c r="E279" s="96"/>
      <c r="F279" s="79"/>
    </row>
    <row r="280" spans="3:6">
      <c r="C280" s="6" t="s">
        <v>173</v>
      </c>
      <c r="D280" s="7">
        <v>52361.418124338692</v>
      </c>
      <c r="E280" s="96"/>
      <c r="F280" s="79"/>
    </row>
    <row r="281" spans="3:6">
      <c r="C281" s="6" t="s">
        <v>173</v>
      </c>
      <c r="D281" s="7">
        <v>16986.694248950869</v>
      </c>
      <c r="E281" s="96"/>
      <c r="F281" s="79"/>
    </row>
    <row r="282" spans="3:6">
      <c r="C282" s="6" t="s">
        <v>347</v>
      </c>
      <c r="D282" s="7">
        <v>2103.1509018643965</v>
      </c>
      <c r="E282" s="96"/>
      <c r="F282" s="79"/>
    </row>
    <row r="283" spans="3:6">
      <c r="C283" s="6" t="s">
        <v>285</v>
      </c>
      <c r="D283" s="7">
        <v>6271.1859178141449</v>
      </c>
      <c r="E283" s="96"/>
      <c r="F283" s="79"/>
    </row>
    <row r="284" spans="3:6">
      <c r="C284" s="6" t="s">
        <v>327</v>
      </c>
      <c r="D284" s="7">
        <v>3322.3356309360061</v>
      </c>
      <c r="E284" s="96"/>
      <c r="F284" s="79"/>
    </row>
    <row r="285" spans="3:6">
      <c r="C285" s="6" t="s">
        <v>207</v>
      </c>
      <c r="D285" s="7">
        <v>22545.349844944802</v>
      </c>
      <c r="E285" s="96"/>
      <c r="F285" s="79"/>
    </row>
    <row r="286" spans="3:6">
      <c r="C286" s="6" t="s">
        <v>210</v>
      </c>
      <c r="D286" s="7">
        <v>21994.305800412109</v>
      </c>
      <c r="E286" s="96"/>
      <c r="F286" s="79"/>
    </row>
    <row r="287" spans="3:6">
      <c r="C287" s="6" t="s">
        <v>397</v>
      </c>
      <c r="D287" s="7">
        <v>755.38936023817564</v>
      </c>
      <c r="E287" s="96"/>
      <c r="F287" s="79"/>
    </row>
    <row r="288" spans="3:6">
      <c r="C288" s="6" t="s">
        <v>208</v>
      </c>
      <c r="D288" s="7">
        <v>22366.260545606641</v>
      </c>
      <c r="E288" s="96"/>
      <c r="F288" s="79"/>
    </row>
    <row r="289" spans="3:6">
      <c r="C289" s="6" t="s">
        <v>145</v>
      </c>
      <c r="D289" s="7">
        <v>205206.46107754344</v>
      </c>
      <c r="E289" s="96"/>
      <c r="F289" s="79"/>
    </row>
    <row r="290" spans="3:6">
      <c r="C290" s="6" t="s">
        <v>165</v>
      </c>
      <c r="D290" s="7">
        <v>66695.448177105442</v>
      </c>
      <c r="E290" s="96"/>
      <c r="F290" s="79"/>
    </row>
    <row r="291" spans="3:6">
      <c r="C291" s="6" t="s">
        <v>166</v>
      </c>
      <c r="D291" s="7">
        <v>63076.161080368933</v>
      </c>
      <c r="E291" s="96"/>
      <c r="F291" s="79"/>
    </row>
    <row r="292" spans="3:6">
      <c r="C292" s="6" t="s">
        <v>160</v>
      </c>
      <c r="D292" s="7">
        <v>86785.59121966215</v>
      </c>
      <c r="E292" s="96"/>
      <c r="F292" s="79"/>
    </row>
    <row r="293" spans="3:6">
      <c r="C293" s="6" t="s">
        <v>290</v>
      </c>
      <c r="D293" s="7">
        <v>5834.9428420171271</v>
      </c>
      <c r="E293" s="96"/>
      <c r="F293" s="79"/>
    </row>
    <row r="294" spans="3:6">
      <c r="C294" s="6" t="s">
        <v>316</v>
      </c>
      <c r="D294" s="7">
        <v>3896.339717866198</v>
      </c>
      <c r="E294" s="96"/>
      <c r="F294" s="79"/>
    </row>
    <row r="295" spans="3:6">
      <c r="C295" s="6" t="s">
        <v>390</v>
      </c>
      <c r="D295" s="7">
        <v>994.9404173456652</v>
      </c>
      <c r="E295" s="96"/>
      <c r="F295" s="79"/>
    </row>
    <row r="296" spans="3:6">
      <c r="C296" s="6" t="s">
        <v>196</v>
      </c>
      <c r="D296" s="7">
        <v>29088.2310608425</v>
      </c>
      <c r="E296" s="96"/>
      <c r="F296" s="79"/>
    </row>
    <row r="297" spans="3:6">
      <c r="C297" s="6" t="s">
        <v>301</v>
      </c>
      <c r="D297" s="7">
        <v>5046.6438656964028</v>
      </c>
      <c r="E297" s="96"/>
      <c r="F297" s="79"/>
    </row>
    <row r="298" spans="3:6">
      <c r="C298" s="6" t="s">
        <v>355</v>
      </c>
      <c r="D298" s="7">
        <v>1907.2241069317179</v>
      </c>
      <c r="E298" s="96"/>
      <c r="F298" s="79"/>
    </row>
    <row r="299" spans="3:6">
      <c r="C299" s="6" t="s">
        <v>222</v>
      </c>
      <c r="D299" s="7">
        <v>18233.431119709261</v>
      </c>
      <c r="E299" s="96"/>
      <c r="F299" s="79"/>
    </row>
    <row r="300" spans="3:6">
      <c r="C300" s="6" t="s">
        <v>237</v>
      </c>
      <c r="D300" s="7">
        <v>15228.71102300144</v>
      </c>
      <c r="E300" s="96"/>
      <c r="F300" s="79"/>
    </row>
    <row r="301" spans="3:6">
      <c r="C301" s="6" t="s">
        <v>334</v>
      </c>
      <c r="D301" s="7">
        <v>2510.3110857616621</v>
      </c>
      <c r="E301" s="96"/>
      <c r="F301" s="79"/>
    </row>
    <row r="302" spans="3:6">
      <c r="C302" s="6" t="s">
        <v>380</v>
      </c>
      <c r="D302" s="7">
        <v>1252.8595689110082</v>
      </c>
      <c r="E302" s="96"/>
      <c r="F302" s="79"/>
    </row>
    <row r="303" spans="3:6">
      <c r="C303" s="6" t="s">
        <v>306</v>
      </c>
      <c r="D303" s="7">
        <v>4719.0789091328061</v>
      </c>
      <c r="E303" s="96"/>
      <c r="F303" s="79"/>
    </row>
    <row r="304" spans="3:6">
      <c r="C304" s="6" t="s">
        <v>348</v>
      </c>
      <c r="D304" s="7">
        <v>2087.0787813763654</v>
      </c>
      <c r="E304" s="96"/>
      <c r="F304" s="79"/>
    </row>
    <row r="305" spans="3:6">
      <c r="C305" s="6" t="s">
        <v>247</v>
      </c>
      <c r="D305" s="7">
        <v>12798.760388330296</v>
      </c>
      <c r="E305" s="96"/>
      <c r="F305" s="79"/>
    </row>
    <row r="306" spans="3:6">
      <c r="C306" s="6" t="s">
        <v>394</v>
      </c>
      <c r="D306" s="7">
        <v>767.63475654341141</v>
      </c>
      <c r="E306" s="96"/>
      <c r="F306" s="79"/>
    </row>
    <row r="307" spans="3:6">
      <c r="C307" s="6" t="s">
        <v>416</v>
      </c>
      <c r="D307" s="7">
        <v>144.64893304264157</v>
      </c>
      <c r="E307" s="96"/>
      <c r="F307" s="79"/>
    </row>
    <row r="308" spans="3:6">
      <c r="C308" s="6" t="s">
        <v>265</v>
      </c>
      <c r="D308" s="7">
        <v>9151.1557748005162</v>
      </c>
      <c r="E308" s="96"/>
      <c r="F308" s="79"/>
    </row>
    <row r="309" spans="3:6">
      <c r="C309" s="6" t="s">
        <v>320</v>
      </c>
      <c r="D309" s="7">
        <v>3596.32690298938</v>
      </c>
      <c r="E309" s="96"/>
      <c r="F309" s="79"/>
    </row>
    <row r="310" spans="3:6">
      <c r="C310" s="6" t="s">
        <v>256</v>
      </c>
      <c r="D310" s="7">
        <v>10420.852839306039</v>
      </c>
      <c r="E310" s="96"/>
      <c r="F310" s="79"/>
    </row>
    <row r="311" spans="3:6">
      <c r="C311" s="6" t="s">
        <v>405</v>
      </c>
      <c r="D311" s="7">
        <v>520.43025107033191</v>
      </c>
      <c r="E311" s="96"/>
      <c r="F311" s="79"/>
    </row>
    <row r="312" spans="3:6">
      <c r="C312" s="6" t="s">
        <v>262</v>
      </c>
      <c r="D312" s="7">
        <v>9414.4322494119915</v>
      </c>
      <c r="E312" s="96"/>
      <c r="F312" s="79"/>
    </row>
    <row r="313" spans="3:6">
      <c r="C313" s="6" t="s">
        <v>321</v>
      </c>
      <c r="D313" s="7">
        <v>3587.9080795173036</v>
      </c>
      <c r="E313" s="96"/>
      <c r="F313" s="79"/>
    </row>
    <row r="314" spans="3:6">
      <c r="C314" s="6" t="s">
        <v>315</v>
      </c>
      <c r="D314" s="7">
        <v>3908.5851141714338</v>
      </c>
      <c r="E314" s="96"/>
      <c r="F314" s="79"/>
    </row>
    <row r="315" spans="3:6">
      <c r="C315" s="6" t="s">
        <v>354</v>
      </c>
      <c r="D315" s="7">
        <v>1936.3069988314705</v>
      </c>
      <c r="E315" s="96"/>
      <c r="F315" s="79"/>
    </row>
    <row r="316" spans="3:6">
      <c r="C316" s="6" t="s">
        <v>385</v>
      </c>
      <c r="D316" s="7">
        <v>1112.0372087015262</v>
      </c>
      <c r="E316" s="96"/>
      <c r="F316" s="79"/>
    </row>
    <row r="317" spans="3:6">
      <c r="C317" s="6" t="s">
        <v>163</v>
      </c>
      <c r="D317" s="7">
        <v>72569.423333357743</v>
      </c>
      <c r="E317" s="96"/>
      <c r="F317" s="79"/>
    </row>
    <row r="318" spans="3:6">
      <c r="C318" s="6" t="s">
        <v>279</v>
      </c>
      <c r="D318" s="7">
        <v>7076.3222383797493</v>
      </c>
      <c r="E318" s="96"/>
      <c r="F318" s="79"/>
    </row>
    <row r="319" spans="3:6">
      <c r="C319" s="6" t="s">
        <v>313</v>
      </c>
      <c r="D319" s="7">
        <v>4010.3751601457493</v>
      </c>
      <c r="E319" s="96"/>
      <c r="F319" s="79"/>
    </row>
    <row r="320" spans="3:6">
      <c r="C320" s="6" t="s">
        <v>191</v>
      </c>
      <c r="D320" s="7">
        <v>32500.876716554074</v>
      </c>
      <c r="E320" s="96"/>
      <c r="F320" s="79"/>
    </row>
    <row r="321" spans="3:6">
      <c r="C321" s="6" t="s">
        <v>311</v>
      </c>
      <c r="D321" s="7">
        <v>4069.3061677021051</v>
      </c>
      <c r="E321" s="96"/>
      <c r="F321" s="79"/>
    </row>
    <row r="322" spans="3:6">
      <c r="C322" s="6" t="s">
        <v>175</v>
      </c>
      <c r="D322" s="7">
        <v>50507.002175461079</v>
      </c>
      <c r="E322" s="96"/>
      <c r="F322" s="79"/>
    </row>
    <row r="323" spans="3:6">
      <c r="C323" s="6" t="s">
        <v>226</v>
      </c>
      <c r="D323" s="7">
        <v>17394.619807954619</v>
      </c>
      <c r="E323" s="96"/>
      <c r="F323" s="79"/>
    </row>
    <row r="324" spans="3:6">
      <c r="C324" s="6" t="s">
        <v>225</v>
      </c>
      <c r="D324" s="7">
        <v>17654.834933489787</v>
      </c>
      <c r="E324" s="96"/>
      <c r="F324" s="79"/>
    </row>
    <row r="325" spans="3:6">
      <c r="C325" s="6" t="s">
        <v>328</v>
      </c>
      <c r="D325" s="7">
        <v>3294.7833378995906</v>
      </c>
      <c r="E325" s="96"/>
      <c r="F325" s="79"/>
    </row>
    <row r="326" spans="3:6">
      <c r="C326" s="6" t="s">
        <v>220</v>
      </c>
      <c r="D326" s="7">
        <v>18672.735544582589</v>
      </c>
      <c r="E326" s="96"/>
      <c r="F326" s="79"/>
    </row>
    <row r="327" spans="3:6">
      <c r="C327" s="6" t="s">
        <v>192</v>
      </c>
      <c r="D327" s="7">
        <v>32343.216860750075</v>
      </c>
      <c r="E327" s="96"/>
      <c r="F327" s="79"/>
    </row>
    <row r="328" spans="3:6">
      <c r="C328" s="6" t="s">
        <v>303</v>
      </c>
      <c r="D328" s="7">
        <v>4944.8538197220869</v>
      </c>
      <c r="E328" s="96"/>
      <c r="F328" s="79"/>
    </row>
    <row r="329" spans="3:6">
      <c r="C329" s="6" t="s">
        <v>415</v>
      </c>
      <c r="D329" s="7">
        <v>311.4928360755672</v>
      </c>
      <c r="E329" s="96"/>
      <c r="F329" s="79"/>
    </row>
    <row r="330" spans="3:6">
      <c r="C330" s="6" t="s">
        <v>149</v>
      </c>
      <c r="D330" s="7">
        <v>154044.32868625587</v>
      </c>
      <c r="E330" s="96"/>
      <c r="F330" s="79"/>
    </row>
    <row r="331" spans="3:6">
      <c r="C331" s="6" t="s">
        <v>199</v>
      </c>
      <c r="D331" s="7">
        <v>28259.369171423274</v>
      </c>
      <c r="E331" s="96"/>
      <c r="F331" s="79"/>
    </row>
    <row r="332" spans="3:6">
      <c r="C332" s="6" t="s">
        <v>199</v>
      </c>
      <c r="D332" s="7">
        <v>19082.191853799312</v>
      </c>
      <c r="E332" s="96"/>
      <c r="F332" s="79"/>
    </row>
    <row r="333" spans="3:6">
      <c r="C333" s="6" t="s">
        <v>232</v>
      </c>
      <c r="D333" s="7">
        <v>16050.684839161562</v>
      </c>
      <c r="E333" s="96"/>
      <c r="F333" s="79"/>
    </row>
    <row r="334" spans="3:6">
      <c r="C334" s="6" t="s">
        <v>392</v>
      </c>
      <c r="D334" s="7">
        <v>795.95227333667788</v>
      </c>
      <c r="E334" s="96"/>
      <c r="F334" s="79"/>
    </row>
    <row r="335" spans="3:6">
      <c r="C335" s="6" t="s">
        <v>325</v>
      </c>
      <c r="D335" s="7">
        <v>3384.3279875686712</v>
      </c>
      <c r="E335" s="96"/>
      <c r="F335" s="79"/>
    </row>
    <row r="336" spans="3:6">
      <c r="C336" s="6" t="s">
        <v>310</v>
      </c>
      <c r="D336" s="7">
        <v>4207.8325539417647</v>
      </c>
      <c r="E336" s="96"/>
      <c r="F336" s="79"/>
    </row>
    <row r="337" spans="3:6">
      <c r="C337" s="6" t="s">
        <v>343</v>
      </c>
      <c r="D337" s="7">
        <v>2182.1236281474457</v>
      </c>
      <c r="E337" s="96"/>
      <c r="F337" s="79"/>
    </row>
    <row r="338" spans="3:6">
      <c r="C338" s="6" t="s">
        <v>287</v>
      </c>
      <c r="D338" s="7">
        <v>6145.6703029862074</v>
      </c>
      <c r="E338" s="96"/>
      <c r="F338" s="79"/>
    </row>
    <row r="339" spans="3:6">
      <c r="C339" s="6" t="s">
        <v>178</v>
      </c>
      <c r="D339" s="7">
        <v>49090.36005259346</v>
      </c>
      <c r="E339" s="96"/>
      <c r="F339" s="79"/>
    </row>
    <row r="340" spans="3:6">
      <c r="C340" s="6" t="s">
        <v>155</v>
      </c>
      <c r="D340" s="7">
        <v>120546.21557838633</v>
      </c>
      <c r="E340" s="96"/>
      <c r="F340" s="79"/>
    </row>
    <row r="341" spans="3:6">
      <c r="C341" s="6" t="s">
        <v>219</v>
      </c>
      <c r="D341" s="7">
        <v>18735.49327632174</v>
      </c>
      <c r="E341" s="96"/>
      <c r="F341" s="79"/>
    </row>
    <row r="342" spans="3:6">
      <c r="C342" s="6" t="s">
        <v>190</v>
      </c>
      <c r="D342" s="7">
        <v>32576.645219704944</v>
      </c>
      <c r="E342" s="96"/>
      <c r="F342" s="79"/>
    </row>
    <row r="343" spans="3:6">
      <c r="C343" s="6" t="s">
        <v>251</v>
      </c>
      <c r="D343" s="7">
        <v>11714.275321315552</v>
      </c>
      <c r="E343" s="96"/>
      <c r="F343" s="79"/>
    </row>
    <row r="344" spans="3:6">
      <c r="C344" s="6" t="s">
        <v>273</v>
      </c>
      <c r="D344" s="7">
        <v>8124.0711164787872</v>
      </c>
      <c r="E344" s="96"/>
      <c r="F344" s="79"/>
    </row>
    <row r="345" spans="3:6">
      <c r="C345" s="6" t="s">
        <v>422</v>
      </c>
      <c r="D345" s="7">
        <v>10015.988629378598</v>
      </c>
      <c r="E345" s="96"/>
      <c r="F345" s="79"/>
    </row>
    <row r="346" spans="3:6">
      <c r="C346" s="6" t="s">
        <v>346</v>
      </c>
      <c r="D346" s="7">
        <v>2105.4468758342191</v>
      </c>
      <c r="E346" s="96"/>
      <c r="F346" s="79"/>
    </row>
    <row r="347" spans="3:6">
      <c r="C347" s="6" t="s">
        <v>371</v>
      </c>
      <c r="D347" s="7">
        <v>1501.5946732474245</v>
      </c>
      <c r="E347" s="96"/>
      <c r="F347" s="79"/>
    </row>
    <row r="348" spans="3:6">
      <c r="C348" s="6" t="s">
        <v>198</v>
      </c>
      <c r="D348" s="7">
        <v>28458.357164082619</v>
      </c>
      <c r="E348" s="96"/>
      <c r="F348" s="79"/>
    </row>
    <row r="349" spans="3:6">
      <c r="C349" s="6" t="s">
        <v>198</v>
      </c>
      <c r="D349" s="7">
        <v>24403.592366655579</v>
      </c>
      <c r="E349" s="96"/>
      <c r="F349" s="79"/>
    </row>
    <row r="350" spans="3:6">
      <c r="C350" s="6" t="s">
        <v>257</v>
      </c>
      <c r="D350" s="7">
        <v>10407.076692787832</v>
      </c>
      <c r="E350" s="96"/>
      <c r="F350" s="79"/>
    </row>
    <row r="351" spans="3:6">
      <c r="C351" s="6" t="s">
        <v>241</v>
      </c>
      <c r="D351" s="7">
        <v>13828.906395728331</v>
      </c>
      <c r="E351" s="96"/>
      <c r="F351" s="79"/>
    </row>
    <row r="352" spans="3:6">
      <c r="C352" s="6" t="s">
        <v>286</v>
      </c>
      <c r="D352" s="7">
        <v>6254.2143264426168</v>
      </c>
      <c r="E352" s="96"/>
      <c r="F352" s="79"/>
    </row>
    <row r="353" spans="3:6">
      <c r="C353" s="6" t="s">
        <v>383</v>
      </c>
      <c r="D353" s="7">
        <v>1122.7518547937898</v>
      </c>
      <c r="E353" s="96"/>
      <c r="F353" s="79"/>
    </row>
    <row r="354" spans="3:6">
      <c r="C354" s="6" t="s">
        <v>359</v>
      </c>
      <c r="D354" s="7">
        <v>1807.73018627686</v>
      </c>
      <c r="E354" s="96"/>
      <c r="F354" s="79"/>
    </row>
    <row r="355" spans="3:6">
      <c r="C355" s="6" t="s">
        <v>281</v>
      </c>
      <c r="D355" s="7">
        <v>6888.0490431622975</v>
      </c>
      <c r="E355" s="96"/>
      <c r="F355" s="79"/>
    </row>
    <row r="356" spans="3:6">
      <c r="C356" s="6" t="s">
        <v>244</v>
      </c>
      <c r="D356" s="7">
        <v>13668.950565954508</v>
      </c>
      <c r="E356" s="96"/>
      <c r="F356" s="79"/>
    </row>
    <row r="357" spans="3:6">
      <c r="C357" s="6" t="s">
        <v>338</v>
      </c>
      <c r="D357" s="7">
        <v>2296.0163477207657</v>
      </c>
      <c r="E357" s="96"/>
      <c r="F357" s="79"/>
    </row>
    <row r="358" spans="3:6">
      <c r="C358" s="6" t="s">
        <v>402</v>
      </c>
      <c r="D358" s="7">
        <v>631.40449562321055</v>
      </c>
      <c r="E358" s="96"/>
      <c r="F358" s="79"/>
    </row>
    <row r="359" spans="3:6">
      <c r="C359" s="6" t="s">
        <v>342</v>
      </c>
      <c r="D359" s="7">
        <v>2191.1648013205049</v>
      </c>
      <c r="E359" s="96"/>
      <c r="F359" s="79"/>
    </row>
    <row r="360" spans="3:6">
      <c r="C360" s="6" t="s">
        <v>280</v>
      </c>
      <c r="D360" s="7">
        <v>6982.9510158775092</v>
      </c>
      <c r="E360" s="96"/>
      <c r="F360" s="79"/>
    </row>
    <row r="361" spans="3:6">
      <c r="C361" s="6" t="s">
        <v>280</v>
      </c>
      <c r="D361" s="7">
        <v>795.95227333667788</v>
      </c>
      <c r="E361" s="96"/>
      <c r="F361" s="79"/>
    </row>
    <row r="362" spans="3:6">
      <c r="C362" s="6" t="s">
        <v>171</v>
      </c>
      <c r="D362" s="7">
        <v>53155.074423705548</v>
      </c>
      <c r="E362" s="96"/>
      <c r="F362" s="79"/>
    </row>
    <row r="363" spans="3:6">
      <c r="C363" s="6" t="s">
        <v>332</v>
      </c>
      <c r="D363" s="7">
        <v>2618.9892049950827</v>
      </c>
      <c r="E363" s="96"/>
      <c r="F363" s="79"/>
    </row>
    <row r="364" spans="3:6">
      <c r="C364" s="6" t="s">
        <v>357</v>
      </c>
      <c r="D364" s="7">
        <v>1836.8130781766126</v>
      </c>
      <c r="E364" s="96"/>
      <c r="F364" s="79"/>
    </row>
    <row r="365" spans="3:6">
      <c r="C365" s="6" t="s">
        <v>292</v>
      </c>
      <c r="D365" s="7">
        <v>5680.3594702529817</v>
      </c>
      <c r="E365" s="96"/>
      <c r="F365" s="79"/>
    </row>
    <row r="366" spans="3:6">
      <c r="C366" s="6" t="s">
        <v>353</v>
      </c>
      <c r="D366" s="7">
        <v>1951.6138955626509</v>
      </c>
      <c r="E366" s="96"/>
      <c r="F366" s="79"/>
    </row>
    <row r="367" spans="3:6">
      <c r="C367" s="6" t="s">
        <v>218</v>
      </c>
      <c r="D367" s="7">
        <v>18914.582575659901</v>
      </c>
      <c r="E367" s="96"/>
      <c r="F367" s="79"/>
    </row>
    <row r="368" spans="3:6">
      <c r="C368" s="6" t="s">
        <v>246</v>
      </c>
      <c r="D368" s="7">
        <v>13117.906672771454</v>
      </c>
      <c r="E368" s="96"/>
      <c r="F368" s="79"/>
    </row>
    <row r="369" spans="3:6">
      <c r="C369" s="6" t="s">
        <v>400</v>
      </c>
      <c r="D369" s="7">
        <v>659.72201241647701</v>
      </c>
      <c r="E369" s="96"/>
      <c r="F369" s="79"/>
    </row>
    <row r="370" spans="3:6">
      <c r="C370" s="6" t="s">
        <v>157</v>
      </c>
      <c r="D370" s="7">
        <v>105377.20093804774</v>
      </c>
      <c r="E370" s="96"/>
      <c r="F370" s="79"/>
    </row>
    <row r="371" spans="3:6">
      <c r="C371" s="6" t="s">
        <v>142</v>
      </c>
      <c r="D371" s="7">
        <v>441087.70043955656</v>
      </c>
      <c r="E371" s="96"/>
      <c r="F371" s="79"/>
    </row>
    <row r="372" spans="3:6">
      <c r="C372" s="6" t="s">
        <v>179</v>
      </c>
      <c r="D372" s="7">
        <v>49090.36005259346</v>
      </c>
      <c r="E372" s="96"/>
      <c r="F372" s="79"/>
    </row>
    <row r="373" spans="3:6">
      <c r="C373" s="6" t="s">
        <v>406</v>
      </c>
      <c r="D373" s="7">
        <v>520.43025107033191</v>
      </c>
      <c r="E373" s="96"/>
      <c r="F373" s="79"/>
    </row>
    <row r="374" spans="3:6">
      <c r="C374" s="6" t="s">
        <v>183</v>
      </c>
      <c r="D374" s="7">
        <v>42315.581227953859</v>
      </c>
      <c r="E374" s="96"/>
      <c r="F374" s="79"/>
    </row>
    <row r="375" spans="3:6">
      <c r="C375" s="6" t="s">
        <v>376</v>
      </c>
      <c r="D375" s="7">
        <v>1392.9165540140041</v>
      </c>
      <c r="E375" s="96"/>
      <c r="F375" s="79"/>
    </row>
    <row r="376" spans="3:6">
      <c r="C376" s="6" t="s">
        <v>231</v>
      </c>
      <c r="D376" s="7">
        <v>16255.030306216682</v>
      </c>
      <c r="E376" s="96"/>
      <c r="F376" s="79"/>
    </row>
    <row r="377" spans="3:6">
      <c r="C377" s="6" t="s">
        <v>164</v>
      </c>
      <c r="D377" s="7">
        <v>68157.245161011233</v>
      </c>
      <c r="E377" s="96"/>
      <c r="F377" s="79"/>
    </row>
    <row r="378" spans="3:6">
      <c r="C378" s="6" t="s">
        <v>372</v>
      </c>
      <c r="D378" s="7">
        <v>1477.8691043938036</v>
      </c>
      <c r="E378" s="96"/>
      <c r="F378" s="79"/>
    </row>
    <row r="379" spans="3:6">
      <c r="C379" s="6" t="s">
        <v>351</v>
      </c>
      <c r="D379" s="7">
        <v>1989.8808346913304</v>
      </c>
      <c r="E379" s="96"/>
      <c r="F379" s="79"/>
    </row>
    <row r="380" spans="3:6">
      <c r="C380" s="6" t="s">
        <v>408</v>
      </c>
      <c r="D380" s="7">
        <v>483.69406215462459</v>
      </c>
      <c r="E380" s="96"/>
      <c r="F380" s="79"/>
    </row>
    <row r="381" spans="3:6">
      <c r="C381" s="6" t="s">
        <v>206</v>
      </c>
      <c r="D381" s="7">
        <v>23706.368790216904</v>
      </c>
      <c r="E381" s="96"/>
      <c r="F381" s="79"/>
    </row>
    <row r="382" spans="3:6">
      <c r="C382" s="6" t="s">
        <v>230</v>
      </c>
      <c r="D382" s="7">
        <v>16588.718112282531</v>
      </c>
      <c r="E382" s="96"/>
      <c r="F382" s="79"/>
    </row>
    <row r="383" spans="3:6">
      <c r="C383" s="6" t="s">
        <v>172</v>
      </c>
      <c r="D383" s="7">
        <v>52992.057244855416</v>
      </c>
      <c r="E383" s="96"/>
      <c r="F383" s="79"/>
    </row>
    <row r="384" spans="3:6">
      <c r="C384" s="6" t="s">
        <v>360</v>
      </c>
      <c r="D384" s="7">
        <v>1797.0153888349612</v>
      </c>
      <c r="E384" s="96"/>
      <c r="F384" s="79"/>
    </row>
    <row r="385" spans="3:6">
      <c r="C385" s="6" t="s">
        <v>278</v>
      </c>
      <c r="D385" s="7">
        <v>7107.7012555989613</v>
      </c>
      <c r="E385" s="96"/>
      <c r="F385" s="79"/>
    </row>
    <row r="386" spans="3:6">
      <c r="C386" s="6" t="s">
        <v>233</v>
      </c>
      <c r="D386" s="7">
        <v>16029.255395627401</v>
      </c>
      <c r="E386" s="96"/>
      <c r="F386" s="79"/>
    </row>
    <row r="387" spans="3:6">
      <c r="C387" s="6" t="s">
        <v>154</v>
      </c>
      <c r="D387" s="7">
        <v>123770.5878875308</v>
      </c>
      <c r="E387" s="96"/>
      <c r="F387" s="79"/>
    </row>
    <row r="388" spans="3:6">
      <c r="C388" s="6" t="s">
        <v>368</v>
      </c>
      <c r="D388" s="7">
        <v>1530.6775651471771</v>
      </c>
      <c r="E388" s="96"/>
      <c r="F388" s="79"/>
    </row>
    <row r="389" spans="3:6">
      <c r="C389" s="6" t="s">
        <v>185</v>
      </c>
      <c r="D389" s="7">
        <v>38266.939128679427</v>
      </c>
      <c r="E389" s="96"/>
      <c r="F389" s="79"/>
    </row>
    <row r="390" spans="3:6">
      <c r="C390" s="6" t="s">
        <v>242</v>
      </c>
      <c r="D390" s="7">
        <v>13788.343482629831</v>
      </c>
      <c r="E390" s="96"/>
      <c r="F390" s="79"/>
    </row>
    <row r="391" spans="3:6">
      <c r="C391" s="6" t="s">
        <v>263</v>
      </c>
      <c r="D391" s="7">
        <v>9304.2235313152323</v>
      </c>
      <c r="E391" s="96"/>
      <c r="F391" s="79"/>
    </row>
    <row r="392" spans="3:6">
      <c r="C392" s="6" t="s">
        <v>419</v>
      </c>
      <c r="D392" s="7">
        <v>87.248524349622414</v>
      </c>
      <c r="E392" s="96"/>
      <c r="F392" s="79"/>
    </row>
    <row r="393" spans="3:6">
      <c r="C393" s="6" t="s">
        <v>234</v>
      </c>
      <c r="D393" s="7">
        <v>15903.80274224781</v>
      </c>
      <c r="E393" s="96"/>
      <c r="F393" s="79"/>
    </row>
    <row r="394" spans="3:6">
      <c r="C394" s="6" t="s">
        <v>323</v>
      </c>
      <c r="D394" s="7">
        <v>3509.0782272901224</v>
      </c>
      <c r="E394" s="96"/>
      <c r="F394" s="79"/>
    </row>
    <row r="395" spans="3:6">
      <c r="C395" s="6" t="s">
        <v>302</v>
      </c>
      <c r="D395" s="7">
        <v>5025.9796459190911</v>
      </c>
      <c r="E395" s="96"/>
      <c r="F395" s="79"/>
    </row>
    <row r="396" spans="3:6">
      <c r="C396" s="6" t="s">
        <v>339</v>
      </c>
      <c r="D396" s="7">
        <v>2283.7708000658945</v>
      </c>
      <c r="E396" s="96"/>
      <c r="F396" s="79"/>
    </row>
    <row r="397" spans="3:6">
      <c r="C397" s="6" t="s">
        <v>271</v>
      </c>
      <c r="D397" s="7">
        <v>8474.5962667895219</v>
      </c>
      <c r="E397" s="96"/>
      <c r="F397" s="79"/>
    </row>
    <row r="398" spans="3:6">
      <c r="C398" s="6" t="s">
        <v>420</v>
      </c>
      <c r="D398" s="7">
        <v>64.288330602487662</v>
      </c>
      <c r="E398" s="96"/>
      <c r="F398" s="79"/>
    </row>
    <row r="399" spans="3:6">
      <c r="C399" s="6" t="s">
        <v>204</v>
      </c>
      <c r="D399" s="7">
        <v>24616.356505833137</v>
      </c>
      <c r="E399" s="96"/>
      <c r="F399" s="79"/>
    </row>
    <row r="400" spans="3:6">
      <c r="C400" s="6" t="s">
        <v>349</v>
      </c>
      <c r="D400" s="7">
        <v>2064.883962735717</v>
      </c>
      <c r="E400" s="96"/>
      <c r="F400" s="79"/>
    </row>
    <row r="401" spans="3:7">
      <c r="C401" s="6" t="s">
        <v>378</v>
      </c>
      <c r="D401" s="7">
        <v>1299.5451801621284</v>
      </c>
      <c r="E401" s="96"/>
      <c r="F401" s="79"/>
    </row>
    <row r="402" spans="3:7">
      <c r="C402" s="6" t="s">
        <v>189</v>
      </c>
      <c r="D402" s="7">
        <v>32936.354417244605</v>
      </c>
      <c r="E402" s="96"/>
      <c r="F402" s="79"/>
    </row>
    <row r="403" spans="3:7">
      <c r="C403" s="6" t="s">
        <v>299</v>
      </c>
      <c r="D403" s="7">
        <v>5130.065817212866</v>
      </c>
      <c r="E403" s="96"/>
      <c r="F403" s="79"/>
    </row>
    <row r="404" spans="3:7">
      <c r="C404" s="64" t="s">
        <v>56</v>
      </c>
      <c r="D404" s="59">
        <f>SUM(D110:D403)</f>
        <v>7978858.2295704074</v>
      </c>
      <c r="E404" s="97"/>
      <c r="F404" s="80"/>
    </row>
    <row r="405" spans="3:7">
      <c r="D405" s="3"/>
    </row>
    <row r="406" spans="3:7">
      <c r="C406" s="462" t="s">
        <v>451</v>
      </c>
      <c r="D406" s="462"/>
      <c r="E406" s="462"/>
      <c r="F406" s="462"/>
      <c r="G406" s="462"/>
    </row>
    <row r="407" spans="3:7">
      <c r="C407" s="54" t="s">
        <v>423</v>
      </c>
      <c r="D407" s="54" t="s">
        <v>45</v>
      </c>
      <c r="E407" s="54" t="s">
        <v>66</v>
      </c>
      <c r="F407" s="60" t="s">
        <v>483</v>
      </c>
      <c r="G407" s="54" t="s">
        <v>94</v>
      </c>
    </row>
    <row r="408" spans="3:7">
      <c r="C408" s="6" t="s">
        <v>424</v>
      </c>
      <c r="D408" s="6" t="s">
        <v>486</v>
      </c>
      <c r="E408" s="6" t="s">
        <v>487</v>
      </c>
      <c r="F408" s="7">
        <v>3607.77</v>
      </c>
      <c r="G408" s="6" t="s">
        <v>481</v>
      </c>
    </row>
    <row r="409" spans="3:7">
      <c r="C409" s="6" t="s">
        <v>424</v>
      </c>
      <c r="D409" s="6" t="s">
        <v>486</v>
      </c>
      <c r="E409" s="6" t="s">
        <v>488</v>
      </c>
      <c r="F409" s="7">
        <v>3606.98</v>
      </c>
      <c r="G409" s="6" t="s">
        <v>481</v>
      </c>
    </row>
    <row r="410" spans="3:7">
      <c r="C410" s="6" t="s">
        <v>424</v>
      </c>
      <c r="D410" s="6" t="s">
        <v>486</v>
      </c>
      <c r="E410" s="6" t="s">
        <v>489</v>
      </c>
      <c r="F410" s="7">
        <v>2722.65</v>
      </c>
      <c r="G410" s="6" t="s">
        <v>481</v>
      </c>
    </row>
    <row r="411" spans="3:7">
      <c r="C411" s="6" t="s">
        <v>424</v>
      </c>
      <c r="D411" s="6" t="s">
        <v>486</v>
      </c>
      <c r="E411" s="6" t="s">
        <v>490</v>
      </c>
      <c r="F411" s="7">
        <v>908.7</v>
      </c>
      <c r="G411" s="6" t="s">
        <v>481</v>
      </c>
    </row>
    <row r="412" spans="3:7">
      <c r="C412" s="6" t="s">
        <v>424</v>
      </c>
      <c r="D412" s="6" t="s">
        <v>486</v>
      </c>
      <c r="E412" s="6" t="s">
        <v>491</v>
      </c>
      <c r="F412" s="7">
        <v>1299.8</v>
      </c>
      <c r="G412" s="6" t="s">
        <v>481</v>
      </c>
    </row>
    <row r="413" spans="3:7">
      <c r="C413" s="6" t="s">
        <v>424</v>
      </c>
      <c r="D413" s="6" t="s">
        <v>486</v>
      </c>
      <c r="E413" s="6" t="s">
        <v>492</v>
      </c>
      <c r="F413" s="7">
        <v>3597.66</v>
      </c>
      <c r="G413" s="6" t="s">
        <v>481</v>
      </c>
    </row>
    <row r="414" spans="3:7">
      <c r="C414" s="6" t="s">
        <v>424</v>
      </c>
      <c r="D414" s="6" t="s">
        <v>486</v>
      </c>
      <c r="E414" s="6" t="s">
        <v>504</v>
      </c>
      <c r="F414" s="7">
        <v>4123.29</v>
      </c>
      <c r="G414" s="6" t="s">
        <v>481</v>
      </c>
    </row>
    <row r="415" spans="3:7">
      <c r="C415" s="6" t="s">
        <v>424</v>
      </c>
      <c r="D415" s="6" t="s">
        <v>486</v>
      </c>
      <c r="E415" s="6" t="s">
        <v>493</v>
      </c>
      <c r="F415" s="7">
        <v>14728.18</v>
      </c>
      <c r="G415" s="6" t="s">
        <v>481</v>
      </c>
    </row>
    <row r="416" spans="3:7">
      <c r="C416" s="6" t="s">
        <v>424</v>
      </c>
      <c r="D416" s="6" t="s">
        <v>486</v>
      </c>
      <c r="E416" s="6" t="s">
        <v>494</v>
      </c>
      <c r="F416" s="7">
        <v>1798.81</v>
      </c>
      <c r="G416" s="6" t="s">
        <v>481</v>
      </c>
    </row>
    <row r="417" spans="3:7">
      <c r="C417" s="6" t="s">
        <v>424</v>
      </c>
      <c r="D417" s="6" t="s">
        <v>486</v>
      </c>
      <c r="E417" s="6" t="s">
        <v>495</v>
      </c>
      <c r="F417" s="7">
        <v>4854.78</v>
      </c>
      <c r="G417" s="6" t="s">
        <v>481</v>
      </c>
    </row>
    <row r="418" spans="3:7">
      <c r="C418" s="6" t="s">
        <v>424</v>
      </c>
      <c r="D418" s="6" t="s">
        <v>486</v>
      </c>
      <c r="E418" s="6" t="s">
        <v>496</v>
      </c>
      <c r="F418" s="7">
        <v>8982.68</v>
      </c>
      <c r="G418" s="6" t="s">
        <v>481</v>
      </c>
    </row>
    <row r="419" spans="3:7">
      <c r="C419" s="6" t="s">
        <v>424</v>
      </c>
      <c r="D419" s="6" t="s">
        <v>486</v>
      </c>
      <c r="E419" s="6" t="s">
        <v>497</v>
      </c>
      <c r="F419" s="7">
        <v>1299.8</v>
      </c>
      <c r="G419" s="6" t="s">
        <v>481</v>
      </c>
    </row>
    <row r="420" spans="3:7">
      <c r="C420" s="6" t="s">
        <v>424</v>
      </c>
      <c r="D420" s="6" t="s">
        <v>486</v>
      </c>
      <c r="E420" s="6" t="s">
        <v>498</v>
      </c>
      <c r="F420" s="7">
        <v>2698.77</v>
      </c>
      <c r="G420" s="6" t="s">
        <v>481</v>
      </c>
    </row>
    <row r="421" spans="3:7">
      <c r="C421" s="6" t="s">
        <v>424</v>
      </c>
      <c r="D421" s="6" t="s">
        <v>486</v>
      </c>
      <c r="E421" s="6" t="s">
        <v>499</v>
      </c>
      <c r="F421" s="7">
        <v>3602.34</v>
      </c>
      <c r="G421" s="6" t="s">
        <v>481</v>
      </c>
    </row>
    <row r="422" spans="3:7">
      <c r="C422" s="6" t="s">
        <v>424</v>
      </c>
      <c r="D422" s="6" t="s">
        <v>486</v>
      </c>
      <c r="E422" s="6" t="s">
        <v>500</v>
      </c>
      <c r="F422" s="7">
        <v>7007.37</v>
      </c>
      <c r="G422" s="6" t="s">
        <v>481</v>
      </c>
    </row>
    <row r="423" spans="3:7">
      <c r="C423" s="6" t="s">
        <v>424</v>
      </c>
      <c r="D423" s="6" t="s">
        <v>486</v>
      </c>
      <c r="E423" s="6" t="s">
        <v>501</v>
      </c>
      <c r="F423" s="7">
        <v>6279.72</v>
      </c>
      <c r="G423" s="6" t="s">
        <v>481</v>
      </c>
    </row>
    <row r="424" spans="3:7">
      <c r="C424" s="6" t="s">
        <v>424</v>
      </c>
      <c r="D424" s="6" t="s">
        <v>486</v>
      </c>
      <c r="E424" s="6" t="s">
        <v>502</v>
      </c>
      <c r="F424" s="7">
        <v>3602.34</v>
      </c>
      <c r="G424" s="6" t="s">
        <v>481</v>
      </c>
    </row>
    <row r="425" spans="3:7">
      <c r="C425" s="6" t="s">
        <v>424</v>
      </c>
      <c r="D425" s="6" t="s">
        <v>486</v>
      </c>
      <c r="E425" s="6" t="s">
        <v>503</v>
      </c>
      <c r="F425" s="7">
        <v>3577.14</v>
      </c>
      <c r="G425" s="6" t="s">
        <v>481</v>
      </c>
    </row>
    <row r="426" spans="3:7" ht="26.25">
      <c r="C426" s="27" t="s">
        <v>424</v>
      </c>
      <c r="D426" s="61" t="s">
        <v>135</v>
      </c>
      <c r="E426" s="27"/>
      <c r="F426" s="25">
        <v>30000</v>
      </c>
      <c r="G426" s="27" t="s">
        <v>457</v>
      </c>
    </row>
    <row r="427" spans="3:7">
      <c r="C427" s="6" t="s">
        <v>505</v>
      </c>
      <c r="D427" s="6" t="s">
        <v>61</v>
      </c>
      <c r="E427" s="12">
        <v>1999</v>
      </c>
      <c r="F427" s="7">
        <v>129.66</v>
      </c>
      <c r="G427" s="6" t="s">
        <v>462</v>
      </c>
    </row>
    <row r="428" spans="3:7">
      <c r="C428" s="6" t="s">
        <v>505</v>
      </c>
      <c r="D428" s="6" t="s">
        <v>61</v>
      </c>
      <c r="E428" s="12">
        <v>2000</v>
      </c>
      <c r="F428" s="7">
        <v>129.66</v>
      </c>
      <c r="G428" s="6" t="s">
        <v>462</v>
      </c>
    </row>
    <row r="429" spans="3:7">
      <c r="C429" s="6" t="s">
        <v>505</v>
      </c>
      <c r="D429" s="6" t="s">
        <v>61</v>
      </c>
      <c r="E429" s="12">
        <v>2001</v>
      </c>
      <c r="F429" s="7">
        <v>143.72</v>
      </c>
      <c r="G429" s="6" t="s">
        <v>462</v>
      </c>
    </row>
    <row r="430" spans="3:7">
      <c r="C430" s="6" t="s">
        <v>505</v>
      </c>
      <c r="D430" s="6" t="s">
        <v>61</v>
      </c>
      <c r="E430" s="12">
        <v>2002</v>
      </c>
      <c r="F430" s="7">
        <v>146.55000000000001</v>
      </c>
      <c r="G430" s="6" t="s">
        <v>462</v>
      </c>
    </row>
    <row r="431" spans="3:7">
      <c r="C431" s="6" t="s">
        <v>505</v>
      </c>
      <c r="D431" s="6" t="s">
        <v>60</v>
      </c>
      <c r="E431" s="12">
        <v>2003</v>
      </c>
      <c r="F431" s="7">
        <v>152.59</v>
      </c>
      <c r="G431" s="6" t="s">
        <v>462</v>
      </c>
    </row>
    <row r="432" spans="3:7">
      <c r="C432" s="6" t="s">
        <v>505</v>
      </c>
      <c r="D432" s="6" t="s">
        <v>61</v>
      </c>
      <c r="E432" s="12">
        <v>2004</v>
      </c>
      <c r="F432" s="7">
        <v>150.56</v>
      </c>
      <c r="G432" s="6" t="s">
        <v>462</v>
      </c>
    </row>
    <row r="433" spans="3:7">
      <c r="C433" s="6" t="s">
        <v>505</v>
      </c>
      <c r="D433" s="6" t="s">
        <v>60</v>
      </c>
      <c r="E433" s="12">
        <v>2005</v>
      </c>
      <c r="F433" s="7">
        <v>157.77000000000001</v>
      </c>
      <c r="G433" s="6" t="s">
        <v>462</v>
      </c>
    </row>
    <row r="434" spans="3:7">
      <c r="C434" s="6" t="s">
        <v>505</v>
      </c>
      <c r="D434" s="6" t="s">
        <v>60</v>
      </c>
      <c r="E434" s="12">
        <v>2006</v>
      </c>
      <c r="F434" s="7">
        <v>172.23</v>
      </c>
      <c r="G434" s="6" t="s">
        <v>462</v>
      </c>
    </row>
    <row r="435" spans="3:7">
      <c r="C435" s="6" t="s">
        <v>505</v>
      </c>
      <c r="D435" s="6" t="s">
        <v>60</v>
      </c>
      <c r="E435" s="12">
        <v>2007</v>
      </c>
      <c r="F435" s="7">
        <v>292.33999999999997</v>
      </c>
      <c r="G435" s="6" t="s">
        <v>462</v>
      </c>
    </row>
    <row r="436" spans="3:7">
      <c r="C436" s="6" t="s">
        <v>505</v>
      </c>
      <c r="D436" s="6" t="s">
        <v>60</v>
      </c>
      <c r="E436" s="12">
        <v>2008</v>
      </c>
      <c r="F436" s="7">
        <v>290.37</v>
      </c>
      <c r="G436" s="6" t="s">
        <v>462</v>
      </c>
    </row>
    <row r="437" spans="3:7">
      <c r="C437" s="6" t="s">
        <v>505</v>
      </c>
      <c r="D437" s="6" t="s">
        <v>60</v>
      </c>
      <c r="E437" s="12">
        <v>2009</v>
      </c>
      <c r="F437" s="7">
        <v>181.99</v>
      </c>
      <c r="G437" s="6" t="s">
        <v>462</v>
      </c>
    </row>
    <row r="438" spans="3:7">
      <c r="C438" s="6" t="s">
        <v>505</v>
      </c>
      <c r="D438" s="6" t="s">
        <v>60</v>
      </c>
      <c r="E438" s="12">
        <v>2010</v>
      </c>
      <c r="F438" s="7">
        <v>185.71</v>
      </c>
      <c r="G438" s="6" t="s">
        <v>462</v>
      </c>
    </row>
    <row r="439" spans="3:7">
      <c r="C439" s="6" t="s">
        <v>505</v>
      </c>
      <c r="D439" s="6" t="s">
        <v>60</v>
      </c>
      <c r="E439" s="12">
        <v>2011</v>
      </c>
      <c r="F439" s="7">
        <v>196.9</v>
      </c>
      <c r="G439" s="6" t="s">
        <v>462</v>
      </c>
    </row>
    <row r="440" spans="3:7">
      <c r="C440" s="6" t="s">
        <v>505</v>
      </c>
      <c r="D440" s="6" t="s">
        <v>60</v>
      </c>
      <c r="E440" s="12">
        <v>2012</v>
      </c>
      <c r="F440" s="7">
        <v>651.49</v>
      </c>
      <c r="G440" s="6" t="s">
        <v>462</v>
      </c>
    </row>
    <row r="441" spans="3:7">
      <c r="C441" s="6" t="s">
        <v>505</v>
      </c>
      <c r="D441" s="6" t="s">
        <v>60</v>
      </c>
      <c r="E441" s="12">
        <v>2013</v>
      </c>
      <c r="F441" s="7">
        <v>687</v>
      </c>
      <c r="G441" s="6" t="s">
        <v>462</v>
      </c>
    </row>
    <row r="442" spans="3:7">
      <c r="C442" s="6" t="s">
        <v>505</v>
      </c>
      <c r="D442" s="6" t="s">
        <v>60</v>
      </c>
      <c r="E442" s="12">
        <v>2014</v>
      </c>
      <c r="F442" s="7">
        <v>727.2</v>
      </c>
      <c r="G442" s="6" t="s">
        <v>462</v>
      </c>
    </row>
    <row r="443" spans="3:7">
      <c r="C443" s="6" t="s">
        <v>505</v>
      </c>
      <c r="D443" s="6" t="s">
        <v>60</v>
      </c>
      <c r="E443" s="12">
        <v>2015</v>
      </c>
      <c r="F443" s="7">
        <v>775.1</v>
      </c>
      <c r="G443" s="6" t="s">
        <v>462</v>
      </c>
    </row>
    <row r="444" spans="3:7">
      <c r="C444" s="6" t="s">
        <v>505</v>
      </c>
      <c r="D444" s="6" t="s">
        <v>61</v>
      </c>
      <c r="E444" s="12">
        <v>2016</v>
      </c>
      <c r="F444" s="7">
        <v>851.5</v>
      </c>
      <c r="G444" s="6" t="s">
        <v>462</v>
      </c>
    </row>
    <row r="445" spans="3:7">
      <c r="C445" s="6" t="s">
        <v>505</v>
      </c>
      <c r="D445" s="6" t="s">
        <v>61</v>
      </c>
      <c r="E445" s="12">
        <v>2017</v>
      </c>
      <c r="F445" s="7">
        <v>918.9</v>
      </c>
      <c r="G445" s="6" t="s">
        <v>462</v>
      </c>
    </row>
    <row r="446" spans="3:7">
      <c r="C446" s="6" t="s">
        <v>505</v>
      </c>
      <c r="D446" s="6" t="s">
        <v>61</v>
      </c>
      <c r="E446" s="12">
        <v>2018</v>
      </c>
      <c r="F446" s="7">
        <v>941.89</v>
      </c>
      <c r="G446" s="6" t="s">
        <v>462</v>
      </c>
    </row>
    <row r="447" spans="3:7">
      <c r="C447" s="6" t="s">
        <v>508</v>
      </c>
      <c r="D447" s="6" t="s">
        <v>509</v>
      </c>
      <c r="E447" s="12" t="s">
        <v>510</v>
      </c>
      <c r="F447" s="7">
        <v>138.35</v>
      </c>
      <c r="G447" s="6" t="s">
        <v>507</v>
      </c>
    </row>
    <row r="448" spans="3:7">
      <c r="C448" s="6" t="s">
        <v>508</v>
      </c>
      <c r="D448" s="6" t="s">
        <v>513</v>
      </c>
      <c r="E448" s="12" t="s">
        <v>510</v>
      </c>
      <c r="F448" s="7">
        <v>205.77</v>
      </c>
      <c r="G448" s="6" t="s">
        <v>514</v>
      </c>
    </row>
    <row r="449" spans="3:7">
      <c r="C449" s="463" t="s">
        <v>56</v>
      </c>
      <c r="D449" s="464"/>
      <c r="E449" s="465"/>
      <c r="F449" s="62">
        <f>SUM(F408:F448)</f>
        <v>116526.03</v>
      </c>
      <c r="G449" s="6"/>
    </row>
    <row r="450" spans="3:7">
      <c r="F450" s="3"/>
    </row>
  </sheetData>
  <mergeCells count="8">
    <mergeCell ref="C406:G406"/>
    <mergeCell ref="C449:E449"/>
    <mergeCell ref="C2:D2"/>
    <mergeCell ref="C11:G11"/>
    <mergeCell ref="C35:E35"/>
    <mergeCell ref="C38:G38"/>
    <mergeCell ref="C106:E106"/>
    <mergeCell ref="C108:D10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8C0D3-515D-402D-AF48-176BC9355529}">
  <dimension ref="B2:F438"/>
  <sheetViews>
    <sheetView showGridLines="0" topLeftCell="A117" zoomScale="90" zoomScaleNormal="90" workbookViewId="0">
      <selection activeCell="A16" sqref="A16:XFD16"/>
    </sheetView>
  </sheetViews>
  <sheetFormatPr defaultColWidth="8.73046875" defaultRowHeight="13.15"/>
  <cols>
    <col min="1" max="1" width="2.73046875" style="143" customWidth="1"/>
    <col min="2" max="2" width="28.796875" style="143" customWidth="1"/>
    <col min="3" max="4" width="10.796875" style="143" customWidth="1"/>
    <col min="5" max="5" width="62.53125" style="143" bestFit="1" customWidth="1"/>
    <col min="6" max="6" width="13.9296875" style="143" customWidth="1"/>
    <col min="7" max="16384" width="8.73046875" style="143"/>
  </cols>
  <sheetData>
    <row r="2" spans="2:6">
      <c r="B2" s="416" t="s">
        <v>811</v>
      </c>
      <c r="C2" s="416"/>
      <c r="D2" s="416"/>
      <c r="E2" s="416"/>
    </row>
    <row r="3" spans="2:6" ht="26.25">
      <c r="B3" s="404" t="s">
        <v>423</v>
      </c>
      <c r="C3" s="405" t="s">
        <v>812</v>
      </c>
      <c r="D3" s="405" t="s">
        <v>813</v>
      </c>
      <c r="E3" s="404" t="s">
        <v>94</v>
      </c>
    </row>
    <row r="4" spans="2:6">
      <c r="B4" s="376" t="str">
        <f>'Pref-Trabalhistas'!B5</f>
        <v>Municipio de Joinville</v>
      </c>
      <c r="C4" s="377" t="e">
        <f>'Pref-Trabalhistas'!#REF!</f>
        <v>#REF!</v>
      </c>
      <c r="D4" s="422" t="e">
        <f>SUM(C4:C8)</f>
        <v>#REF!</v>
      </c>
      <c r="E4" s="378" t="str">
        <f>'Pref-Trabalhistas'!F6</f>
        <v>EV. 997 - Execução Fiscal n. 0902886-57.2018.8.24.0038</v>
      </c>
    </row>
    <row r="5" spans="2:6">
      <c r="B5" s="379" t="str">
        <f>'Pref-Trabalhistas'!B6</f>
        <v>Municipio de Joinville</v>
      </c>
      <c r="C5" s="380" t="e">
        <f>'Pref-Trabalhistas'!#REF!</f>
        <v>#REF!</v>
      </c>
      <c r="D5" s="423"/>
      <c r="E5" s="381" t="str">
        <f>'Pref-Trabalhistas'!F5</f>
        <v>EV. 997 - Execução Fiscal n. 0903959-98.2017.8.24.0038</v>
      </c>
    </row>
    <row r="6" spans="2:6">
      <c r="B6" s="379" t="str">
        <f>'Pref-Trabalhistas'!B7</f>
        <v>Municipio de Joinville</v>
      </c>
      <c r="C6" s="380" t="e">
        <f>'Pref-Trabalhistas'!#REF!</f>
        <v>#REF!</v>
      </c>
      <c r="D6" s="423"/>
      <c r="E6" s="381" t="str">
        <f>'Pref-Trabalhistas'!F9</f>
        <v>EV. 997 - Execução Fiscal n. 5014350-53.2024.8.24.0023</v>
      </c>
    </row>
    <row r="7" spans="2:6">
      <c r="B7" s="379" t="str">
        <f>'Pref-Trabalhistas'!B8</f>
        <v>Municipio de Joinville</v>
      </c>
      <c r="C7" s="380" t="e">
        <f>'Pref-Trabalhistas'!#REF!</f>
        <v>#REF!</v>
      </c>
      <c r="D7" s="423"/>
      <c r="E7" s="381" t="str">
        <f>'Pref-Trabalhistas'!F7</f>
        <v>EV. 997 - Execução Fiscal n. 5019527-26.2019.8.24.0038</v>
      </c>
    </row>
    <row r="8" spans="2:6">
      <c r="B8" s="382" t="str">
        <f>'Pref-Trabalhistas'!B9</f>
        <v>Municipio de Joinville</v>
      </c>
      <c r="C8" s="383" t="e">
        <f>'Pref-Trabalhistas'!#REF!</f>
        <v>#REF!</v>
      </c>
      <c r="D8" s="424"/>
      <c r="E8" s="384" t="str">
        <f>'Pref-Trabalhistas'!F8</f>
        <v>EV. 997 - Execução Fiscal n. 5088935-47.2022.8.24.0023</v>
      </c>
    </row>
    <row r="9" spans="2:6">
      <c r="B9" s="402" t="s">
        <v>807</v>
      </c>
      <c r="C9" s="403" t="e">
        <f>SUM(C4:C8)</f>
        <v>#REF!</v>
      </c>
      <c r="D9" s="385"/>
      <c r="E9" s="375"/>
    </row>
    <row r="10" spans="2:6">
      <c r="C10" s="374"/>
      <c r="D10" s="374"/>
      <c r="E10" s="375"/>
    </row>
    <row r="11" spans="2:6">
      <c r="C11" s="374"/>
      <c r="D11" s="374"/>
      <c r="E11" s="375"/>
    </row>
    <row r="12" spans="2:6">
      <c r="B12" s="416" t="s">
        <v>810</v>
      </c>
      <c r="C12" s="416"/>
      <c r="D12" s="416"/>
      <c r="E12" s="416"/>
      <c r="F12" s="215"/>
    </row>
    <row r="13" spans="2:6" ht="26.25">
      <c r="B13" s="404" t="s">
        <v>423</v>
      </c>
      <c r="C13" s="405" t="s">
        <v>812</v>
      </c>
      <c r="D13" s="405" t="s">
        <v>813</v>
      </c>
      <c r="E13" s="404" t="s">
        <v>94</v>
      </c>
      <c r="F13" s="215"/>
    </row>
    <row r="14" spans="2:6">
      <c r="B14" s="376" t="str">
        <f>'Pref-Fiscal'!B17</f>
        <v>União</v>
      </c>
      <c r="C14" s="386">
        <f>'Pref-Fiscal'!R17</f>
        <v>93.83</v>
      </c>
      <c r="D14" s="425">
        <f>SUM(C14:C16)</f>
        <v>595.48</v>
      </c>
      <c r="E14" s="387" t="str">
        <f>'Pref-Fiscal'!S17</f>
        <v>Ev. 868</v>
      </c>
      <c r="F14" s="215"/>
    </row>
    <row r="15" spans="2:6">
      <c r="B15" s="379" t="str">
        <f>'Pref-Fiscal'!B18</f>
        <v>União</v>
      </c>
      <c r="C15" s="388">
        <f>'Pref-Fiscal'!R18</f>
        <v>134.77000000000001</v>
      </c>
      <c r="D15" s="426"/>
      <c r="E15" s="389" t="str">
        <f>'Pref-Fiscal'!S18</f>
        <v>Ev. 868</v>
      </c>
      <c r="F15" s="215"/>
    </row>
    <row r="16" spans="2:6">
      <c r="B16" s="382" t="str">
        <f>'Pref-Fiscal'!B19</f>
        <v>União</v>
      </c>
      <c r="C16" s="390">
        <f>'Pref-Fiscal'!R19</f>
        <v>366.88</v>
      </c>
      <c r="D16" s="428"/>
      <c r="E16" s="393" t="str">
        <f>'Pref-Fiscal'!S19</f>
        <v>Ev. 868</v>
      </c>
    </row>
    <row r="17" spans="2:5">
      <c r="B17" s="376" t="str">
        <f>'Pref-Fiscal'!B34&amp;" - "&amp;'Pref-Fiscal'!C34</f>
        <v>Estado de Santa Catarina - ICMS</v>
      </c>
      <c r="C17" s="386">
        <f>'Pref-Fiscal'!R34</f>
        <v>16013.43</v>
      </c>
      <c r="D17" s="425">
        <f>SUM(C17:C70)</f>
        <v>314952.72000000003</v>
      </c>
      <c r="E17" s="376" t="str">
        <f>'Pref-Fiscal'!S34&amp;" - "&amp;'Pref-Fiscal'!T34</f>
        <v>EV. 909 - 0030402-31.1995.8.24.0023</v>
      </c>
    </row>
    <row r="18" spans="2:5">
      <c r="B18" s="379" t="str">
        <f>'Pref-Fiscal'!B36&amp;" - "&amp;'Pref-Fiscal'!C36</f>
        <v>Estado de Santa Catarina - ICMS</v>
      </c>
      <c r="C18" s="388">
        <f>'Pref-Fiscal'!R36</f>
        <v>21634.85</v>
      </c>
      <c r="D18" s="426"/>
      <c r="E18" s="379" t="str">
        <f>'Pref-Fiscal'!S36&amp;" - "&amp;'Pref-Fiscal'!T36</f>
        <v>EV. 909 - 0000542-62.1989.8.24.0033</v>
      </c>
    </row>
    <row r="19" spans="2:5">
      <c r="B19" s="379" t="str">
        <f>'Pref-Fiscal'!B37&amp;" - "&amp;'Pref-Fiscal'!C37</f>
        <v>Estado de Santa Catarina - ICMS</v>
      </c>
      <c r="C19" s="388">
        <f>'Pref-Fiscal'!R37</f>
        <v>1207.52</v>
      </c>
      <c r="D19" s="426"/>
      <c r="E19" s="379" t="str">
        <f>'Pref-Fiscal'!S37&amp;" - "&amp;'Pref-Fiscal'!T37</f>
        <v>EV. 909 - 0005200-70.1996.8.24.0038</v>
      </c>
    </row>
    <row r="20" spans="2:5">
      <c r="B20" s="379" t="str">
        <f>'Pref-Fiscal'!B38&amp;" - "&amp;'Pref-Fiscal'!C38</f>
        <v>Estado de Santa Catarina - ICMS</v>
      </c>
      <c r="C20" s="388">
        <f>'Pref-Fiscal'!R38</f>
        <v>3220.28</v>
      </c>
      <c r="D20" s="426"/>
      <c r="E20" s="379" t="str">
        <f>'Pref-Fiscal'!S38&amp;" - "&amp;'Pref-Fiscal'!T38</f>
        <v>EV. 909 - 0005200-70.1996.8.24.0038</v>
      </c>
    </row>
    <row r="21" spans="2:5">
      <c r="B21" s="379" t="str">
        <f>'Pref-Fiscal'!B39&amp;" - "&amp;'Pref-Fiscal'!C39</f>
        <v>Estado de Santa Catarina - ICMS</v>
      </c>
      <c r="C21" s="388">
        <f>'Pref-Fiscal'!R39</f>
        <v>12749.27</v>
      </c>
      <c r="D21" s="426"/>
      <c r="E21" s="379" t="str">
        <f>'Pref-Fiscal'!S39&amp;" - "&amp;'Pref-Fiscal'!T39</f>
        <v>EV. 909 - 0005200-70.1996.8.24.0038</v>
      </c>
    </row>
    <row r="22" spans="2:5">
      <c r="B22" s="379" t="str">
        <f>'Pref-Fiscal'!B40&amp;" - "&amp;'Pref-Fiscal'!C40</f>
        <v>Estado de Santa Catarina - ICMS</v>
      </c>
      <c r="C22" s="388">
        <f>'Pref-Fiscal'!R40</f>
        <v>234.86</v>
      </c>
      <c r="D22" s="426"/>
      <c r="E22" s="379" t="str">
        <f>'Pref-Fiscal'!S40&amp;" - "&amp;'Pref-Fiscal'!T40</f>
        <v>EV. 909 - 0005200-70.1996.8.24.0038</v>
      </c>
    </row>
    <row r="23" spans="2:5">
      <c r="B23" s="379" t="str">
        <f>'Pref-Fiscal'!B41&amp;" - "&amp;'Pref-Fiscal'!C41</f>
        <v>Estado de Santa Catarina - ICMS</v>
      </c>
      <c r="C23" s="388">
        <f>'Pref-Fiscal'!R41</f>
        <v>598.55999999999995</v>
      </c>
      <c r="D23" s="426"/>
      <c r="E23" s="379" t="str">
        <f>'Pref-Fiscal'!S41&amp;" - "&amp;'Pref-Fiscal'!T41</f>
        <v>EV. 909 - 0005200-70.1996.8.24.0038</v>
      </c>
    </row>
    <row r="24" spans="2:5">
      <c r="B24" s="379" t="str">
        <f>'Pref-Fiscal'!B42&amp;" - "&amp;'Pref-Fiscal'!C42</f>
        <v>Estado de Santa Catarina - ICMS</v>
      </c>
      <c r="C24" s="388">
        <f>'Pref-Fiscal'!R42</f>
        <v>510.37</v>
      </c>
      <c r="D24" s="426"/>
      <c r="E24" s="379" t="str">
        <f>'Pref-Fiscal'!S42&amp;" - "&amp;'Pref-Fiscal'!T42</f>
        <v>EV. 909 - 0005200-70.1996.8.24.0038</v>
      </c>
    </row>
    <row r="25" spans="2:5">
      <c r="B25" s="379" t="str">
        <f>'Pref-Fiscal'!B43&amp;" - "&amp;'Pref-Fiscal'!C43</f>
        <v>Estado de Santa Catarina - ICMS</v>
      </c>
      <c r="C25" s="388">
        <f>'Pref-Fiscal'!R43</f>
        <v>1028.04</v>
      </c>
      <c r="D25" s="426"/>
      <c r="E25" s="379" t="str">
        <f>'Pref-Fiscal'!S43&amp;" - "&amp;'Pref-Fiscal'!T43</f>
        <v>EV. 909 - 0005200-70.1996.8.24.0038</v>
      </c>
    </row>
    <row r="26" spans="2:5">
      <c r="B26" s="379" t="str">
        <f>'Pref-Fiscal'!B44&amp;" - "&amp;'Pref-Fiscal'!C44</f>
        <v>Estado de Santa Catarina - ICMS</v>
      </c>
      <c r="C26" s="388">
        <f>'Pref-Fiscal'!R44</f>
        <v>1254.45</v>
      </c>
      <c r="D26" s="426"/>
      <c r="E26" s="379" t="str">
        <f>'Pref-Fiscal'!S44&amp;" - "&amp;'Pref-Fiscal'!T44</f>
        <v>EV. 909 - 0005200-70.1996.8.24.0038</v>
      </c>
    </row>
    <row r="27" spans="2:5">
      <c r="B27" s="379" t="str">
        <f>'Pref-Fiscal'!B45&amp;" - "&amp;'Pref-Fiscal'!C45</f>
        <v>Estado de Santa Catarina - ICMS</v>
      </c>
      <c r="C27" s="388">
        <f>'Pref-Fiscal'!R45</f>
        <v>363.84</v>
      </c>
      <c r="D27" s="426"/>
      <c r="E27" s="379" t="str">
        <f>'Pref-Fiscal'!S45&amp;" - "&amp;'Pref-Fiscal'!T45</f>
        <v>EV. 909 - 0005200-70.1996.8.24.0038</v>
      </c>
    </row>
    <row r="28" spans="2:5">
      <c r="B28" s="379" t="str">
        <f>'Pref-Fiscal'!B46&amp;" - "&amp;'Pref-Fiscal'!C46</f>
        <v>Estado de Santa Catarina - ICMS</v>
      </c>
      <c r="C28" s="388">
        <f>'Pref-Fiscal'!R46</f>
        <v>1761.11</v>
      </c>
      <c r="D28" s="426"/>
      <c r="E28" s="379" t="str">
        <f>'Pref-Fiscal'!S46&amp;" - "&amp;'Pref-Fiscal'!T46</f>
        <v>EV. 909 - 0005200-70.1996.8.24.0038</v>
      </c>
    </row>
    <row r="29" spans="2:5">
      <c r="B29" s="379" t="str">
        <f>'Pref-Fiscal'!B47&amp;" - "&amp;'Pref-Fiscal'!C47</f>
        <v>Estado de Santa Catarina - ICMS</v>
      </c>
      <c r="C29" s="388">
        <f>'Pref-Fiscal'!R47</f>
        <v>3223.94</v>
      </c>
      <c r="D29" s="426"/>
      <c r="E29" s="379" t="str">
        <f>'Pref-Fiscal'!S47&amp;" - "&amp;'Pref-Fiscal'!T47</f>
        <v>EV. 909 - 0005200-70.1996.8.24.0038</v>
      </c>
    </row>
    <row r="30" spans="2:5">
      <c r="B30" s="379" t="str">
        <f>'Pref-Fiscal'!B48&amp;" - "&amp;'Pref-Fiscal'!C48</f>
        <v>Estado de Santa Catarina - ICMS</v>
      </c>
      <c r="C30" s="388">
        <f>'Pref-Fiscal'!R48</f>
        <v>33007.08</v>
      </c>
      <c r="D30" s="426"/>
      <c r="E30" s="379" t="str">
        <f>'Pref-Fiscal'!S48&amp;" - "&amp;'Pref-Fiscal'!T48</f>
        <v>EV. 909 - 0005200-70.1996.8.24.0038</v>
      </c>
    </row>
    <row r="31" spans="2:5">
      <c r="B31" s="379" t="str">
        <f>'Pref-Fiscal'!B49&amp;" - "&amp;'Pref-Fiscal'!C49</f>
        <v>Estado de Santa Catarina - ICMS</v>
      </c>
      <c r="C31" s="388">
        <f>'Pref-Fiscal'!R49</f>
        <v>1456.76</v>
      </c>
      <c r="D31" s="426"/>
      <c r="E31" s="379" t="str">
        <f>'Pref-Fiscal'!S49&amp;" - "&amp;'Pref-Fiscal'!T49</f>
        <v>EV. 909 - 0005200-70.1996.8.24.0038</v>
      </c>
    </row>
    <row r="32" spans="2:5">
      <c r="B32" s="379" t="str">
        <f>'Pref-Fiscal'!B50&amp;" - "&amp;'Pref-Fiscal'!C50</f>
        <v>Estado de Santa Catarina - ICMS</v>
      </c>
      <c r="C32" s="388">
        <f>'Pref-Fiscal'!R50</f>
        <v>7938.91</v>
      </c>
      <c r="D32" s="426"/>
      <c r="E32" s="379" t="str">
        <f>'Pref-Fiscal'!S50&amp;" - "&amp;'Pref-Fiscal'!T50</f>
        <v>EV. 909 - 0005200-70.1996.8.24.0038</v>
      </c>
    </row>
    <row r="33" spans="2:5">
      <c r="B33" s="379" t="str">
        <f>'Pref-Fiscal'!B51&amp;" - "&amp;'Pref-Fiscal'!C51</f>
        <v>Estado de Santa Catarina - ICMS</v>
      </c>
      <c r="C33" s="388">
        <f>'Pref-Fiscal'!R51</f>
        <v>2008.14</v>
      </c>
      <c r="D33" s="426"/>
      <c r="E33" s="379" t="str">
        <f>'Pref-Fiscal'!S51&amp;" - "&amp;'Pref-Fiscal'!T51</f>
        <v>EV. 909 - 0005200-70.1996.8.24.0038</v>
      </c>
    </row>
    <row r="34" spans="2:5">
      <c r="B34" s="379" t="str">
        <f>'Pref-Fiscal'!B52&amp;" - "&amp;'Pref-Fiscal'!C52</f>
        <v>Estado de Santa Catarina - ICMS</v>
      </c>
      <c r="C34" s="388">
        <f>'Pref-Fiscal'!R52</f>
        <v>2545.75</v>
      </c>
      <c r="D34" s="426"/>
      <c r="E34" s="379" t="str">
        <f>'Pref-Fiscal'!S52&amp;" - "&amp;'Pref-Fiscal'!T52</f>
        <v>EV. 909 - 0005200-70.1996.8.24.0038</v>
      </c>
    </row>
    <row r="35" spans="2:5">
      <c r="B35" s="379" t="str">
        <f>'Pref-Fiscal'!B53&amp;" - "&amp;'Pref-Fiscal'!C53</f>
        <v>Estado de Santa Catarina - ICMS</v>
      </c>
      <c r="C35" s="388">
        <f>'Pref-Fiscal'!R53</f>
        <v>2445.58</v>
      </c>
      <c r="D35" s="426"/>
      <c r="E35" s="379" t="str">
        <f>'Pref-Fiscal'!S53&amp;" - "&amp;'Pref-Fiscal'!T53</f>
        <v>EV. 909 - 0005200-70.1996.8.24.0038</v>
      </c>
    </row>
    <row r="36" spans="2:5">
      <c r="B36" s="379" t="str">
        <f>'Pref-Fiscal'!B54&amp;" - "&amp;'Pref-Fiscal'!C54</f>
        <v>Estado de Santa Catarina - ICMS</v>
      </c>
      <c r="C36" s="388">
        <f>'Pref-Fiscal'!R54</f>
        <v>3409.26</v>
      </c>
      <c r="D36" s="426"/>
      <c r="E36" s="379" t="str">
        <f>'Pref-Fiscal'!S54&amp;" - "&amp;'Pref-Fiscal'!T54</f>
        <v>EV. 909 - 0005200-70.1996.8.24.0038</v>
      </c>
    </row>
    <row r="37" spans="2:5">
      <c r="B37" s="379" t="str">
        <f>'Pref-Fiscal'!B55&amp;" - "&amp;'Pref-Fiscal'!C55</f>
        <v>Estado de Santa Catarina - ICMS</v>
      </c>
      <c r="C37" s="388">
        <f>'Pref-Fiscal'!R55</f>
        <v>10326.4</v>
      </c>
      <c r="D37" s="426"/>
      <c r="E37" s="379" t="str">
        <f>'Pref-Fiscal'!S55&amp;" - "&amp;'Pref-Fiscal'!T55</f>
        <v>EV. 909 - 0005200-70.1996.8.24.0038</v>
      </c>
    </row>
    <row r="38" spans="2:5">
      <c r="B38" s="379" t="str">
        <f>'Pref-Fiscal'!B56&amp;" - "&amp;'Pref-Fiscal'!C56</f>
        <v>Estado de Santa Catarina - ICMS</v>
      </c>
      <c r="C38" s="388">
        <f>'Pref-Fiscal'!R56</f>
        <v>1728.76</v>
      </c>
      <c r="D38" s="426"/>
      <c r="E38" s="379" t="str">
        <f>'Pref-Fiscal'!S56&amp;" - "&amp;'Pref-Fiscal'!T56</f>
        <v>EV. 909 - 0005200-70.1996.8.24.0038</v>
      </c>
    </row>
    <row r="39" spans="2:5">
      <c r="B39" s="379" t="str">
        <f>'Pref-Fiscal'!B57&amp;" - "&amp;'Pref-Fiscal'!C57</f>
        <v>Estado de Santa Catarina - ICMS</v>
      </c>
      <c r="C39" s="388">
        <f>'Pref-Fiscal'!R57</f>
        <v>29770.93</v>
      </c>
      <c r="D39" s="426"/>
      <c r="E39" s="379" t="str">
        <f>'Pref-Fiscal'!S57&amp;" - "&amp;'Pref-Fiscal'!T57</f>
        <v>EV. 909 - 0005200-70.1996.8.24.0038</v>
      </c>
    </row>
    <row r="40" spans="2:5">
      <c r="B40" s="379" t="str">
        <f>'Pref-Fiscal'!B58&amp;" - "&amp;'Pref-Fiscal'!C58</f>
        <v>Estado de Santa Catarina - ICMS</v>
      </c>
      <c r="C40" s="388">
        <f>'Pref-Fiscal'!R58</f>
        <v>3526.91</v>
      </c>
      <c r="D40" s="426"/>
      <c r="E40" s="379" t="str">
        <f>'Pref-Fiscal'!S58&amp;" - "&amp;'Pref-Fiscal'!T58</f>
        <v>EV. 909 - 0005200-70.1996.8.24.0038</v>
      </c>
    </row>
    <row r="41" spans="2:5">
      <c r="B41" s="379" t="str">
        <f>'Pref-Fiscal'!B59&amp;" - "&amp;'Pref-Fiscal'!C59</f>
        <v>Estado de Santa Catarina - ICMS</v>
      </c>
      <c r="C41" s="388">
        <f>'Pref-Fiscal'!R59</f>
        <v>1862.16</v>
      </c>
      <c r="D41" s="426"/>
      <c r="E41" s="379" t="str">
        <f>'Pref-Fiscal'!S59&amp;" - "&amp;'Pref-Fiscal'!T59</f>
        <v>EV. 909 - 0005200-70.1996.8.24.0038</v>
      </c>
    </row>
    <row r="42" spans="2:5">
      <c r="B42" s="379" t="str">
        <f>'Pref-Fiscal'!B60&amp;" - "&amp;'Pref-Fiscal'!C60</f>
        <v>Estado de Santa Catarina - ICMS</v>
      </c>
      <c r="C42" s="388">
        <f>'Pref-Fiscal'!R60</f>
        <v>692.52</v>
      </c>
      <c r="D42" s="426"/>
      <c r="E42" s="379" t="str">
        <f>'Pref-Fiscal'!S60&amp;" - "&amp;'Pref-Fiscal'!T60</f>
        <v>EV. 909 - 0005200-70.1996.8.24.0038</v>
      </c>
    </row>
    <row r="43" spans="2:5">
      <c r="B43" s="379" t="str">
        <f>'Pref-Fiscal'!B61&amp;" - "&amp;'Pref-Fiscal'!C61</f>
        <v>Estado de Santa Catarina - ICMS</v>
      </c>
      <c r="C43" s="388">
        <f>'Pref-Fiscal'!R61</f>
        <v>1453.39</v>
      </c>
      <c r="D43" s="426"/>
      <c r="E43" s="379" t="str">
        <f>'Pref-Fiscal'!S61&amp;" - "&amp;'Pref-Fiscal'!T61</f>
        <v>EV. 909 - 0005200-70.1996.8.24.0038</v>
      </c>
    </row>
    <row r="44" spans="2:5">
      <c r="B44" s="379" t="str">
        <f>'Pref-Fiscal'!B62&amp;" - "&amp;'Pref-Fiscal'!C62</f>
        <v>Estado de Santa Catarina - ICMS</v>
      </c>
      <c r="C44" s="388">
        <f>'Pref-Fiscal'!R62</f>
        <v>3256.26</v>
      </c>
      <c r="D44" s="426"/>
      <c r="E44" s="379" t="str">
        <f>'Pref-Fiscal'!S62&amp;" - "&amp;'Pref-Fiscal'!T62</f>
        <v>EV. 909 - 0005200-70.1996.8.24.0038</v>
      </c>
    </row>
    <row r="45" spans="2:5">
      <c r="B45" s="379" t="str">
        <f>'Pref-Fiscal'!B63&amp;" - "&amp;'Pref-Fiscal'!C63</f>
        <v>Estado de Santa Catarina - ICMS</v>
      </c>
      <c r="C45" s="388">
        <f>'Pref-Fiscal'!R63</f>
        <v>4584.76</v>
      </c>
      <c r="D45" s="426"/>
      <c r="E45" s="379" t="str">
        <f>'Pref-Fiscal'!S63&amp;" - "&amp;'Pref-Fiscal'!T63</f>
        <v>EV. 909 - 0005200-70.1996.8.24.0038</v>
      </c>
    </row>
    <row r="46" spans="2:5">
      <c r="B46" s="379" t="str">
        <f>'Pref-Fiscal'!B64&amp;" - "&amp;'Pref-Fiscal'!C64</f>
        <v>Estado de Santa Catarina - ICMS</v>
      </c>
      <c r="C46" s="388">
        <f>'Pref-Fiscal'!R64</f>
        <v>6739.54</v>
      </c>
      <c r="D46" s="426"/>
      <c r="E46" s="379" t="str">
        <f>'Pref-Fiscal'!S64&amp;" - "&amp;'Pref-Fiscal'!T64</f>
        <v>EV. 909 - 0005200-70.1996.8.24.0038</v>
      </c>
    </row>
    <row r="47" spans="2:5">
      <c r="B47" s="379" t="str">
        <f>'Pref-Fiscal'!B65&amp;" - "&amp;'Pref-Fiscal'!C65</f>
        <v>Estado de Santa Catarina - ICMS</v>
      </c>
      <c r="C47" s="388">
        <f>'Pref-Fiscal'!R65</f>
        <v>17389.84</v>
      </c>
      <c r="D47" s="426"/>
      <c r="E47" s="379" t="str">
        <f>'Pref-Fiscal'!S65&amp;" - "&amp;'Pref-Fiscal'!T65</f>
        <v>EV. 909 - 0005200-70.1996.8.24.0038</v>
      </c>
    </row>
    <row r="48" spans="2:5">
      <c r="B48" s="379" t="str">
        <f>'Pref-Fiscal'!B66&amp;" - "&amp;'Pref-Fiscal'!C66</f>
        <v>Estado de Santa Catarina - ICMS</v>
      </c>
      <c r="C48" s="388">
        <f>'Pref-Fiscal'!R66</f>
        <v>994.79</v>
      </c>
      <c r="D48" s="426"/>
      <c r="E48" s="379" t="str">
        <f>'Pref-Fiscal'!S66&amp;" - "&amp;'Pref-Fiscal'!T66</f>
        <v>EV. 909 - 0005200-70.1996.8.24.0038</v>
      </c>
    </row>
    <row r="49" spans="2:5">
      <c r="B49" s="379" t="str">
        <f>'Pref-Fiscal'!B67&amp;" - "&amp;'Pref-Fiscal'!C67</f>
        <v>Estado de Santa Catarina - ICMS</v>
      </c>
      <c r="C49" s="388">
        <f>'Pref-Fiscal'!R67</f>
        <v>1181.74</v>
      </c>
      <c r="D49" s="426"/>
      <c r="E49" s="379" t="str">
        <f>'Pref-Fiscal'!S67&amp;" - "&amp;'Pref-Fiscal'!T67</f>
        <v>EV. 909 - 0005200-70.1996.8.24.0038</v>
      </c>
    </row>
    <row r="50" spans="2:5">
      <c r="B50" s="379" t="str">
        <f>'Pref-Fiscal'!B68&amp;" - "&amp;'Pref-Fiscal'!C68</f>
        <v>Estado de Santa Catarina - ICMS</v>
      </c>
      <c r="C50" s="388">
        <f>'Pref-Fiscal'!R68</f>
        <v>11858.16</v>
      </c>
      <c r="D50" s="426"/>
      <c r="E50" s="379" t="str">
        <f>'Pref-Fiscal'!S68&amp;" - "&amp;'Pref-Fiscal'!T68</f>
        <v>EV. 909 - 0005192-93.1996.8.24.0038</v>
      </c>
    </row>
    <row r="51" spans="2:5">
      <c r="B51" s="379" t="str">
        <f>'Pref-Fiscal'!B69&amp;" - "&amp;'Pref-Fiscal'!C69</f>
        <v>Estado de Santa Catarina - ICMS</v>
      </c>
      <c r="C51" s="388">
        <f>'Pref-Fiscal'!R69</f>
        <v>3608.01</v>
      </c>
      <c r="D51" s="426"/>
      <c r="E51" s="379" t="str">
        <f>'Pref-Fiscal'!S69&amp;" - "&amp;'Pref-Fiscal'!T69</f>
        <v>EV. 909 - 0005192-93.1996.8.24.0038</v>
      </c>
    </row>
    <row r="52" spans="2:5">
      <c r="B52" s="379" t="str">
        <f>'Pref-Fiscal'!B70&amp;" - "&amp;'Pref-Fiscal'!C70</f>
        <v>Estado de Santa Catarina - ICMS</v>
      </c>
      <c r="C52" s="388">
        <f>'Pref-Fiscal'!R70</f>
        <v>1601.73</v>
      </c>
      <c r="D52" s="426"/>
      <c r="E52" s="379" t="str">
        <f>'Pref-Fiscal'!S70&amp;" - "&amp;'Pref-Fiscal'!T70</f>
        <v>EV. 909 - 0005192-93.1996.8.24.0038</v>
      </c>
    </row>
    <row r="53" spans="2:5">
      <c r="B53" s="379" t="str">
        <f>'Pref-Fiscal'!B71&amp;" - "&amp;'Pref-Fiscal'!C71</f>
        <v>Estado de Santa Catarina - ICMS</v>
      </c>
      <c r="C53" s="388">
        <f>'Pref-Fiscal'!R71</f>
        <v>1340.47</v>
      </c>
      <c r="D53" s="426"/>
      <c r="E53" s="379" t="str">
        <f>'Pref-Fiscal'!S71&amp;" - "&amp;'Pref-Fiscal'!T71</f>
        <v>EV. 909 - 0005192-93.1996.8.24.0038</v>
      </c>
    </row>
    <row r="54" spans="2:5">
      <c r="B54" s="379" t="str">
        <f>'Pref-Fiscal'!B72&amp;" - "&amp;'Pref-Fiscal'!C72</f>
        <v>Estado de Santa Catarina - ICMS</v>
      </c>
      <c r="C54" s="388">
        <f>'Pref-Fiscal'!R72</f>
        <v>3269.01</v>
      </c>
      <c r="D54" s="426"/>
      <c r="E54" s="379" t="str">
        <f>'Pref-Fiscal'!S72&amp;" - "&amp;'Pref-Fiscal'!T72</f>
        <v>EV. 909 - 0005192-93.1996.8.24.0038</v>
      </c>
    </row>
    <row r="55" spans="2:5">
      <c r="B55" s="379" t="str">
        <f>'Pref-Fiscal'!B73&amp;" - "&amp;'Pref-Fiscal'!C73</f>
        <v>Estado de Santa Catarina - ICMS</v>
      </c>
      <c r="C55" s="388">
        <f>'Pref-Fiscal'!R73</f>
        <v>1434.07</v>
      </c>
      <c r="D55" s="426"/>
      <c r="E55" s="379" t="str">
        <f>'Pref-Fiscal'!S73&amp;" - "&amp;'Pref-Fiscal'!T73</f>
        <v>EV. 909 - 0005192-93.1996.8.24.0038</v>
      </c>
    </row>
    <row r="56" spans="2:5">
      <c r="B56" s="379" t="str">
        <f>'Pref-Fiscal'!B74&amp;" - "&amp;'Pref-Fiscal'!C74</f>
        <v>Estado de Santa Catarina - ICMS</v>
      </c>
      <c r="C56" s="388">
        <f>'Pref-Fiscal'!R74</f>
        <v>4149.33</v>
      </c>
      <c r="D56" s="426"/>
      <c r="E56" s="379" t="str">
        <f>'Pref-Fiscal'!S74&amp;" - "&amp;'Pref-Fiscal'!T74</f>
        <v>EV. 909 - 0005192-93.1996.8.24.0038</v>
      </c>
    </row>
    <row r="57" spans="2:5">
      <c r="B57" s="379" t="str">
        <f>'Pref-Fiscal'!B75&amp;" - "&amp;'Pref-Fiscal'!C75</f>
        <v>Estado de Santa Catarina - ICMS</v>
      </c>
      <c r="C57" s="388">
        <f>'Pref-Fiscal'!R75</f>
        <v>846.17</v>
      </c>
      <c r="D57" s="426"/>
      <c r="E57" s="379" t="str">
        <f>'Pref-Fiscal'!S75&amp;" - "&amp;'Pref-Fiscal'!T75</f>
        <v>EV. 909 - 0005192-93.1996.8.24.0038</v>
      </c>
    </row>
    <row r="58" spans="2:5">
      <c r="B58" s="379" t="str">
        <f>'Pref-Fiscal'!B76&amp;" - "&amp;'Pref-Fiscal'!C76</f>
        <v>Estado de Santa Catarina - ICMS</v>
      </c>
      <c r="C58" s="388">
        <f>'Pref-Fiscal'!R76</f>
        <v>284.67</v>
      </c>
      <c r="D58" s="426"/>
      <c r="E58" s="379" t="str">
        <f>'Pref-Fiscal'!S76&amp;" - "&amp;'Pref-Fiscal'!T76</f>
        <v>EV. 909 - 0005192-93.1996.8.24.0038</v>
      </c>
    </row>
    <row r="59" spans="2:5">
      <c r="B59" s="379" t="str">
        <f>'Pref-Fiscal'!B77&amp;" - "&amp;'Pref-Fiscal'!C77</f>
        <v>Estado de Santa Catarina - ICMS</v>
      </c>
      <c r="C59" s="388">
        <f>'Pref-Fiscal'!R77</f>
        <v>1209.56</v>
      </c>
      <c r="D59" s="426"/>
      <c r="E59" s="379" t="str">
        <f>'Pref-Fiscal'!S77&amp;" - "&amp;'Pref-Fiscal'!T77</f>
        <v>EV. 909 - 0005196-33.1996.8.24.0038</v>
      </c>
    </row>
    <row r="60" spans="2:5">
      <c r="B60" s="379" t="str">
        <f>'Pref-Fiscal'!B78&amp;" - "&amp;'Pref-Fiscal'!C78</f>
        <v>Estado de Santa Catarina - ICMS</v>
      </c>
      <c r="C60" s="388">
        <f>'Pref-Fiscal'!R78</f>
        <v>13850.86</v>
      </c>
      <c r="D60" s="426"/>
      <c r="E60" s="379" t="str">
        <f>'Pref-Fiscal'!S78&amp;" - "&amp;'Pref-Fiscal'!T78</f>
        <v>EV. 909 - 0005196-33.1996.8.24.0038</v>
      </c>
    </row>
    <row r="61" spans="2:5">
      <c r="B61" s="379" t="str">
        <f>'Pref-Fiscal'!B79&amp;" - "&amp;'Pref-Fiscal'!C79</f>
        <v>Estado de Santa Catarina - ICMS</v>
      </c>
      <c r="C61" s="388">
        <f>'Pref-Fiscal'!R79</f>
        <v>1338.26</v>
      </c>
      <c r="D61" s="426"/>
      <c r="E61" s="379" t="str">
        <f>'Pref-Fiscal'!S79&amp;" - "&amp;'Pref-Fiscal'!T79</f>
        <v>EV. 909 - 0005196-33.1996.8.24.0038</v>
      </c>
    </row>
    <row r="62" spans="2:5">
      <c r="B62" s="379" t="str">
        <f>'Pref-Fiscal'!B80&amp;" - "&amp;'Pref-Fiscal'!C80</f>
        <v>Estado de Santa Catarina - ICMS</v>
      </c>
      <c r="C62" s="388">
        <f>'Pref-Fiscal'!R80</f>
        <v>309.48</v>
      </c>
      <c r="D62" s="426"/>
      <c r="E62" s="379" t="str">
        <f>'Pref-Fiscal'!S80&amp;" - "&amp;'Pref-Fiscal'!T80</f>
        <v>EV. 909 - 0005196-33.1996.8.24.0038</v>
      </c>
    </row>
    <row r="63" spans="2:5">
      <c r="B63" s="379" t="str">
        <f>'Pref-Fiscal'!B81&amp;" - "&amp;'Pref-Fiscal'!C81</f>
        <v>Estado de Santa Catarina - ICMS</v>
      </c>
      <c r="C63" s="388">
        <f>'Pref-Fiscal'!R81</f>
        <v>1622.36</v>
      </c>
      <c r="D63" s="426"/>
      <c r="E63" s="379" t="str">
        <f>'Pref-Fiscal'!S81&amp;" - "&amp;'Pref-Fiscal'!T81</f>
        <v>EV. 909 - 0005196-33.1996.8.24.0038</v>
      </c>
    </row>
    <row r="64" spans="2:5">
      <c r="B64" s="379" t="str">
        <f>'Pref-Fiscal'!B82&amp;" - "&amp;'Pref-Fiscal'!C82</f>
        <v>Estado de Santa Catarina - ICMS</v>
      </c>
      <c r="C64" s="388">
        <f>'Pref-Fiscal'!R82</f>
        <v>2900.29</v>
      </c>
      <c r="D64" s="426"/>
      <c r="E64" s="379" t="str">
        <f>'Pref-Fiscal'!S82&amp;" - "&amp;'Pref-Fiscal'!T82</f>
        <v>EV. 909 - 0005196-33.1996.8.24.0038</v>
      </c>
    </row>
    <row r="65" spans="2:5">
      <c r="B65" s="379" t="str">
        <f>'Pref-Fiscal'!B83&amp;" - "&amp;'Pref-Fiscal'!C83</f>
        <v>Estado de Santa Catarina - ICMS</v>
      </c>
      <c r="C65" s="388">
        <f>'Pref-Fiscal'!R83</f>
        <v>1000.65</v>
      </c>
      <c r="D65" s="426"/>
      <c r="E65" s="379" t="str">
        <f>'Pref-Fiscal'!S83&amp;" - "&amp;'Pref-Fiscal'!T83</f>
        <v>EV. 909 - 0005196-33.1996.8.24.0038</v>
      </c>
    </row>
    <row r="66" spans="2:5">
      <c r="B66" s="379" t="str">
        <f>'Pref-Fiscal'!B84&amp;" - "&amp;'Pref-Fiscal'!C84</f>
        <v>Estado de Santa Catarina - ICMS</v>
      </c>
      <c r="C66" s="388">
        <f>'Pref-Fiscal'!R84</f>
        <v>2844.13</v>
      </c>
      <c r="D66" s="426"/>
      <c r="E66" s="379" t="str">
        <f>'Pref-Fiscal'!S84&amp;" - "&amp;'Pref-Fiscal'!T84</f>
        <v>EV. 909 - 0005192-93.1996.8.24.0038</v>
      </c>
    </row>
    <row r="67" spans="2:5">
      <c r="B67" s="379" t="str">
        <f>'Pref-Fiscal'!B85&amp;" - "&amp;'Pref-Fiscal'!C85</f>
        <v>Estado de Santa Catarina - ICMS</v>
      </c>
      <c r="C67" s="388">
        <f>'Pref-Fiscal'!R85</f>
        <v>8198.69</v>
      </c>
      <c r="D67" s="426"/>
      <c r="E67" s="379" t="str">
        <f>'Pref-Fiscal'!S85&amp;" - "&amp;'Pref-Fiscal'!T85</f>
        <v>EV. 909 - 0005192-93.1996.8.24.0038</v>
      </c>
    </row>
    <row r="68" spans="2:5">
      <c r="B68" s="379" t="str">
        <f>'Pref-Fiscal'!B86&amp;" - "&amp;'Pref-Fiscal'!C86</f>
        <v>Estado de Santa Catarina - ICMS</v>
      </c>
      <c r="C68" s="388">
        <f>'Pref-Fiscal'!R86</f>
        <v>3619.5</v>
      </c>
      <c r="D68" s="426"/>
      <c r="E68" s="379" t="str">
        <f>'Pref-Fiscal'!S86&amp;" - "&amp;'Pref-Fiscal'!T86</f>
        <v>EV. 909 - 0005192-93.1996.8.24.0038</v>
      </c>
    </row>
    <row r="69" spans="2:5">
      <c r="B69" s="379" t="str">
        <f>'Pref-Fiscal'!B87&amp;" - "&amp;'Pref-Fiscal'!C87</f>
        <v>Estado de Santa Catarina - ICMS</v>
      </c>
      <c r="C69" s="388">
        <f>'Pref-Fiscal'!R87</f>
        <v>47361.03</v>
      </c>
      <c r="D69" s="426"/>
      <c r="E69" s="379" t="str">
        <f>'Pref-Fiscal'!S87&amp;" - "&amp;'Pref-Fiscal'!T87</f>
        <v>EV. 909 - -</v>
      </c>
    </row>
    <row r="70" spans="2:5">
      <c r="B70" s="382" t="str">
        <f>'Pref-Fiscal'!B88&amp;" - "&amp;'Pref-Fiscal'!C88</f>
        <v>Estado de Santa Catarina - ICMS</v>
      </c>
      <c r="C70" s="390">
        <f>'Pref-Fiscal'!R88</f>
        <v>2186.29</v>
      </c>
      <c r="D70" s="428"/>
      <c r="E70" s="382" t="str">
        <f>'Pref-Fiscal'!S88&amp;" - "&amp;'Pref-Fiscal'!T88</f>
        <v>EV. 909 - 0003291-90.1996.8.24.0038</v>
      </c>
    </row>
    <row r="71" spans="2:5">
      <c r="B71" s="391" t="str">
        <f>'Pref-Fiscal'!B90&amp;" - "&amp;'Pref-Fiscal'!C90</f>
        <v>Estado de Santa Catarina - FUNJURE</v>
      </c>
      <c r="C71" s="392">
        <f>'Pref-Fiscal'!R90</f>
        <v>800.67150000000004</v>
      </c>
      <c r="D71" s="429">
        <f>SUM(C71:C124)</f>
        <v>15747.635999999997</v>
      </c>
      <c r="E71" s="391" t="str">
        <f>'Pref-Fiscal'!S90&amp;" - "&amp;'Pref-Fiscal'!T90</f>
        <v xml:space="preserve"> - 0030402-31.1995.8.24.0023</v>
      </c>
    </row>
    <row r="72" spans="2:5">
      <c r="B72" s="379" t="str">
        <f>'Pref-Fiscal'!B92&amp;" - "&amp;'Pref-Fiscal'!C92</f>
        <v>Estado de Santa Catarina - FUNJURE</v>
      </c>
      <c r="C72" s="388">
        <f>'Pref-Fiscal'!R92</f>
        <v>1081.7425000000001</v>
      </c>
      <c r="D72" s="426"/>
      <c r="E72" s="379" t="str">
        <f>'Pref-Fiscal'!S92&amp;" - "&amp;'Pref-Fiscal'!T92</f>
        <v xml:space="preserve"> - 0000542-62.1989.8.24.0033</v>
      </c>
    </row>
    <row r="73" spans="2:5">
      <c r="B73" s="379" t="str">
        <f>'Pref-Fiscal'!B93&amp;" - "&amp;'Pref-Fiscal'!C93</f>
        <v>Estado de Santa Catarina - FUNJURE</v>
      </c>
      <c r="C73" s="388">
        <f>'Pref-Fiscal'!R93</f>
        <v>60.376000000000005</v>
      </c>
      <c r="D73" s="426"/>
      <c r="E73" s="379" t="str">
        <f>'Pref-Fiscal'!S93&amp;" - "&amp;'Pref-Fiscal'!T93</f>
        <v xml:space="preserve"> - 0005200-70.1996.8.24.0038</v>
      </c>
    </row>
    <row r="74" spans="2:5">
      <c r="B74" s="379" t="str">
        <f>'Pref-Fiscal'!B94&amp;" - "&amp;'Pref-Fiscal'!C94</f>
        <v>Estado de Santa Catarina - FUNJURE</v>
      </c>
      <c r="C74" s="388">
        <f>'Pref-Fiscal'!R94</f>
        <v>161.01400000000001</v>
      </c>
      <c r="D74" s="426"/>
      <c r="E74" s="379" t="str">
        <f>'Pref-Fiscal'!S94&amp;" - "&amp;'Pref-Fiscal'!T94</f>
        <v xml:space="preserve"> - 0005200-70.1996.8.24.0038</v>
      </c>
    </row>
    <row r="75" spans="2:5">
      <c r="B75" s="379" t="str">
        <f>'Pref-Fiscal'!B95&amp;" - "&amp;'Pref-Fiscal'!C95</f>
        <v>Estado de Santa Catarina - FUNJURE</v>
      </c>
      <c r="C75" s="388">
        <f>'Pref-Fiscal'!R95</f>
        <v>637.46350000000007</v>
      </c>
      <c r="D75" s="426"/>
      <c r="E75" s="379" t="str">
        <f>'Pref-Fiscal'!S95&amp;" - "&amp;'Pref-Fiscal'!T95</f>
        <v xml:space="preserve"> - 0005200-70.1996.8.24.0038</v>
      </c>
    </row>
    <row r="76" spans="2:5">
      <c r="B76" s="379" t="str">
        <f>'Pref-Fiscal'!B96&amp;" - "&amp;'Pref-Fiscal'!C96</f>
        <v>Estado de Santa Catarina - FUNJURE</v>
      </c>
      <c r="C76" s="388">
        <f>'Pref-Fiscal'!R96</f>
        <v>11.743000000000002</v>
      </c>
      <c r="D76" s="426"/>
      <c r="E76" s="379" t="str">
        <f>'Pref-Fiscal'!S96&amp;" - "&amp;'Pref-Fiscal'!T96</f>
        <v xml:space="preserve"> - 0005200-70.1996.8.24.0038</v>
      </c>
    </row>
    <row r="77" spans="2:5">
      <c r="B77" s="379" t="str">
        <f>'Pref-Fiscal'!B97&amp;" - "&amp;'Pref-Fiscal'!C97</f>
        <v>Estado de Santa Catarina - FUNJURE</v>
      </c>
      <c r="C77" s="388">
        <f>'Pref-Fiscal'!R97</f>
        <v>29.927999999999997</v>
      </c>
      <c r="D77" s="426"/>
      <c r="E77" s="379" t="str">
        <f>'Pref-Fiscal'!S97&amp;" - "&amp;'Pref-Fiscal'!T97</f>
        <v xml:space="preserve"> - 0005200-70.1996.8.24.0038</v>
      </c>
    </row>
    <row r="78" spans="2:5">
      <c r="B78" s="379" t="str">
        <f>'Pref-Fiscal'!B98&amp;" - "&amp;'Pref-Fiscal'!C98</f>
        <v>Estado de Santa Catarina - FUNJURE</v>
      </c>
      <c r="C78" s="388">
        <f>'Pref-Fiscal'!R98</f>
        <v>25.518500000000003</v>
      </c>
      <c r="D78" s="426"/>
      <c r="E78" s="379" t="str">
        <f>'Pref-Fiscal'!S98&amp;" - "&amp;'Pref-Fiscal'!T98</f>
        <v xml:space="preserve"> - 0005200-70.1996.8.24.0038</v>
      </c>
    </row>
    <row r="79" spans="2:5">
      <c r="B79" s="379" t="str">
        <f>'Pref-Fiscal'!B99&amp;" - "&amp;'Pref-Fiscal'!C99</f>
        <v>Estado de Santa Catarina - FUNJURE</v>
      </c>
      <c r="C79" s="388">
        <f>'Pref-Fiscal'!R99</f>
        <v>51.402000000000001</v>
      </c>
      <c r="D79" s="426"/>
      <c r="E79" s="379" t="str">
        <f>'Pref-Fiscal'!S99&amp;" - "&amp;'Pref-Fiscal'!T99</f>
        <v xml:space="preserve"> - 0005200-70.1996.8.24.0038</v>
      </c>
    </row>
    <row r="80" spans="2:5">
      <c r="B80" s="379" t="str">
        <f>'Pref-Fiscal'!B100&amp;" - "&amp;'Pref-Fiscal'!C100</f>
        <v>Estado de Santa Catarina - FUNJURE</v>
      </c>
      <c r="C80" s="388">
        <f>'Pref-Fiscal'!R100</f>
        <v>62.722500000000004</v>
      </c>
      <c r="D80" s="426"/>
      <c r="E80" s="379" t="str">
        <f>'Pref-Fiscal'!S100&amp;" - "&amp;'Pref-Fiscal'!T100</f>
        <v xml:space="preserve"> - 0005200-70.1996.8.24.0038</v>
      </c>
    </row>
    <row r="81" spans="2:5">
      <c r="B81" s="379" t="str">
        <f>'Pref-Fiscal'!B101&amp;" - "&amp;'Pref-Fiscal'!C101</f>
        <v>Estado de Santa Catarina - FUNJURE</v>
      </c>
      <c r="C81" s="388">
        <f>'Pref-Fiscal'!R101</f>
        <v>18.192</v>
      </c>
      <c r="D81" s="426"/>
      <c r="E81" s="379" t="str">
        <f>'Pref-Fiscal'!S101&amp;" - "&amp;'Pref-Fiscal'!T101</f>
        <v xml:space="preserve"> - 0005200-70.1996.8.24.0038</v>
      </c>
    </row>
    <row r="82" spans="2:5">
      <c r="B82" s="379" t="str">
        <f>'Pref-Fiscal'!B102&amp;" - "&amp;'Pref-Fiscal'!C102</f>
        <v>Estado de Santa Catarina - FUNJURE</v>
      </c>
      <c r="C82" s="388">
        <f>'Pref-Fiscal'!R102</f>
        <v>88.055499999999995</v>
      </c>
      <c r="D82" s="426"/>
      <c r="E82" s="379" t="str">
        <f>'Pref-Fiscal'!S102&amp;" - "&amp;'Pref-Fiscal'!T102</f>
        <v xml:space="preserve"> - 0005200-70.1996.8.24.0038</v>
      </c>
    </row>
    <row r="83" spans="2:5">
      <c r="B83" s="379" t="str">
        <f>'Pref-Fiscal'!B103&amp;" - "&amp;'Pref-Fiscal'!C103</f>
        <v>Estado de Santa Catarina - FUNJURE</v>
      </c>
      <c r="C83" s="388">
        <f>'Pref-Fiscal'!R103</f>
        <v>161.197</v>
      </c>
      <c r="D83" s="426"/>
      <c r="E83" s="379" t="str">
        <f>'Pref-Fiscal'!S103&amp;" - "&amp;'Pref-Fiscal'!T103</f>
        <v xml:space="preserve"> - 0005200-70.1996.8.24.0038</v>
      </c>
    </row>
    <row r="84" spans="2:5">
      <c r="B84" s="379" t="str">
        <f>'Pref-Fiscal'!B104&amp;" - "&amp;'Pref-Fiscal'!C104</f>
        <v>Estado de Santa Catarina - FUNJURE</v>
      </c>
      <c r="C84" s="388">
        <f>'Pref-Fiscal'!R104</f>
        <v>1650.3540000000003</v>
      </c>
      <c r="D84" s="426"/>
      <c r="E84" s="379" t="str">
        <f>'Pref-Fiscal'!S104&amp;" - "&amp;'Pref-Fiscal'!T104</f>
        <v xml:space="preserve"> - 0005200-70.1996.8.24.0038</v>
      </c>
    </row>
    <row r="85" spans="2:5">
      <c r="B85" s="379" t="str">
        <f>'Pref-Fiscal'!B105&amp;" - "&amp;'Pref-Fiscal'!C105</f>
        <v>Estado de Santa Catarina - FUNJURE</v>
      </c>
      <c r="C85" s="388">
        <f>'Pref-Fiscal'!R105</f>
        <v>72.838000000000008</v>
      </c>
      <c r="D85" s="426"/>
      <c r="E85" s="379" t="str">
        <f>'Pref-Fiscal'!S105&amp;" - "&amp;'Pref-Fiscal'!T105</f>
        <v xml:space="preserve"> - 0005200-70.1996.8.24.0038</v>
      </c>
    </row>
    <row r="86" spans="2:5">
      <c r="B86" s="379" t="str">
        <f>'Pref-Fiscal'!B106&amp;" - "&amp;'Pref-Fiscal'!C106</f>
        <v>Estado de Santa Catarina - FUNJURE</v>
      </c>
      <c r="C86" s="388">
        <f>'Pref-Fiscal'!R106</f>
        <v>396.94550000000004</v>
      </c>
      <c r="D86" s="426"/>
      <c r="E86" s="379" t="str">
        <f>'Pref-Fiscal'!S106&amp;" - "&amp;'Pref-Fiscal'!T106</f>
        <v xml:space="preserve"> - 0005200-70.1996.8.24.0038</v>
      </c>
    </row>
    <row r="87" spans="2:5">
      <c r="B87" s="379" t="str">
        <f>'Pref-Fiscal'!B107&amp;" - "&amp;'Pref-Fiscal'!C107</f>
        <v>Estado de Santa Catarina - FUNJURE</v>
      </c>
      <c r="C87" s="388">
        <f>'Pref-Fiscal'!R107</f>
        <v>100.40700000000001</v>
      </c>
      <c r="D87" s="426"/>
      <c r="E87" s="379" t="str">
        <f>'Pref-Fiscal'!S107&amp;" - "&amp;'Pref-Fiscal'!T107</f>
        <v xml:space="preserve"> - 0005200-70.1996.8.24.0038</v>
      </c>
    </row>
    <row r="88" spans="2:5">
      <c r="B88" s="379" t="str">
        <f>'Pref-Fiscal'!B108&amp;" - "&amp;'Pref-Fiscal'!C108</f>
        <v>Estado de Santa Catarina - FUNJURE</v>
      </c>
      <c r="C88" s="388">
        <f>'Pref-Fiscal'!R108</f>
        <v>127.28750000000001</v>
      </c>
      <c r="D88" s="426"/>
      <c r="E88" s="379" t="str">
        <f>'Pref-Fiscal'!S108&amp;" - "&amp;'Pref-Fiscal'!T108</f>
        <v xml:space="preserve"> - 0005200-70.1996.8.24.0038</v>
      </c>
    </row>
    <row r="89" spans="2:5">
      <c r="B89" s="379" t="str">
        <f>'Pref-Fiscal'!B109&amp;" - "&amp;'Pref-Fiscal'!C109</f>
        <v>Estado de Santa Catarina - FUNJURE</v>
      </c>
      <c r="C89" s="388">
        <f>'Pref-Fiscal'!R109</f>
        <v>122.279</v>
      </c>
      <c r="D89" s="426"/>
      <c r="E89" s="379" t="str">
        <f>'Pref-Fiscal'!S109&amp;" - "&amp;'Pref-Fiscal'!T109</f>
        <v xml:space="preserve"> - 0005200-70.1996.8.24.0038</v>
      </c>
    </row>
    <row r="90" spans="2:5">
      <c r="B90" s="379" t="str">
        <f>'Pref-Fiscal'!B110&amp;" - "&amp;'Pref-Fiscal'!C110</f>
        <v>Estado de Santa Catarina - FUNJURE</v>
      </c>
      <c r="C90" s="388">
        <f>'Pref-Fiscal'!R110</f>
        <v>170.46300000000002</v>
      </c>
      <c r="D90" s="426"/>
      <c r="E90" s="379" t="str">
        <f>'Pref-Fiscal'!S110&amp;" - "&amp;'Pref-Fiscal'!T110</f>
        <v xml:space="preserve"> - 0005200-70.1996.8.24.0038</v>
      </c>
    </row>
    <row r="91" spans="2:5">
      <c r="B91" s="379" t="str">
        <f>'Pref-Fiscal'!B111&amp;" - "&amp;'Pref-Fiscal'!C111</f>
        <v>Estado de Santa Catarina - FUNJURE</v>
      </c>
      <c r="C91" s="388">
        <f>'Pref-Fiscal'!R111</f>
        <v>516.32000000000005</v>
      </c>
      <c r="D91" s="426"/>
      <c r="E91" s="379" t="str">
        <f>'Pref-Fiscal'!S111&amp;" - "&amp;'Pref-Fiscal'!T111</f>
        <v xml:space="preserve"> - 0005200-70.1996.8.24.0038</v>
      </c>
    </row>
    <row r="92" spans="2:5">
      <c r="B92" s="379" t="str">
        <f>'Pref-Fiscal'!B112&amp;" - "&amp;'Pref-Fiscal'!C112</f>
        <v>Estado de Santa Catarina - FUNJURE</v>
      </c>
      <c r="C92" s="388">
        <f>'Pref-Fiscal'!R112</f>
        <v>86.438000000000002</v>
      </c>
      <c r="D92" s="426"/>
      <c r="E92" s="379" t="str">
        <f>'Pref-Fiscal'!S112&amp;" - "&amp;'Pref-Fiscal'!T112</f>
        <v xml:space="preserve"> - 0005200-70.1996.8.24.0038</v>
      </c>
    </row>
    <row r="93" spans="2:5">
      <c r="B93" s="379" t="str">
        <f>'Pref-Fiscal'!B113&amp;" - "&amp;'Pref-Fiscal'!C113</f>
        <v>Estado de Santa Catarina - FUNJURE</v>
      </c>
      <c r="C93" s="388">
        <f>'Pref-Fiscal'!R113</f>
        <v>1488.5465000000002</v>
      </c>
      <c r="D93" s="426"/>
      <c r="E93" s="379" t="str">
        <f>'Pref-Fiscal'!S113&amp;" - "&amp;'Pref-Fiscal'!T113</f>
        <v xml:space="preserve"> - 0005200-70.1996.8.24.0038</v>
      </c>
    </row>
    <row r="94" spans="2:5">
      <c r="B94" s="379" t="str">
        <f>'Pref-Fiscal'!B114&amp;" - "&amp;'Pref-Fiscal'!C114</f>
        <v>Estado de Santa Catarina - FUNJURE</v>
      </c>
      <c r="C94" s="388">
        <f>'Pref-Fiscal'!R114</f>
        <v>176.34550000000002</v>
      </c>
      <c r="D94" s="426"/>
      <c r="E94" s="379" t="str">
        <f>'Pref-Fiscal'!S114&amp;" - "&amp;'Pref-Fiscal'!T114</f>
        <v xml:space="preserve"> - 0005200-70.1996.8.24.0038</v>
      </c>
    </row>
    <row r="95" spans="2:5">
      <c r="B95" s="379" t="str">
        <f>'Pref-Fiscal'!B115&amp;" - "&amp;'Pref-Fiscal'!C115</f>
        <v>Estado de Santa Catarina - FUNJURE</v>
      </c>
      <c r="C95" s="388">
        <f>'Pref-Fiscal'!R115</f>
        <v>93.108000000000004</v>
      </c>
      <c r="D95" s="426"/>
      <c r="E95" s="379" t="str">
        <f>'Pref-Fiscal'!S115&amp;" - "&amp;'Pref-Fiscal'!T115</f>
        <v xml:space="preserve"> - 0005200-70.1996.8.24.0038</v>
      </c>
    </row>
    <row r="96" spans="2:5">
      <c r="B96" s="379" t="str">
        <f>'Pref-Fiscal'!B116&amp;" - "&amp;'Pref-Fiscal'!C116</f>
        <v>Estado de Santa Catarina - FUNJURE</v>
      </c>
      <c r="C96" s="388">
        <f>'Pref-Fiscal'!R116</f>
        <v>34.625999999999998</v>
      </c>
      <c r="D96" s="426"/>
      <c r="E96" s="379" t="str">
        <f>'Pref-Fiscal'!S116&amp;" - "&amp;'Pref-Fiscal'!T116</f>
        <v xml:space="preserve"> - 0005200-70.1996.8.24.0038</v>
      </c>
    </row>
    <row r="97" spans="2:5">
      <c r="B97" s="379" t="str">
        <f>'Pref-Fiscal'!B117&amp;" - "&amp;'Pref-Fiscal'!C117</f>
        <v>Estado de Santa Catarina - FUNJURE</v>
      </c>
      <c r="C97" s="388">
        <f>'Pref-Fiscal'!R117</f>
        <v>72.669500000000014</v>
      </c>
      <c r="D97" s="426"/>
      <c r="E97" s="379" t="str">
        <f>'Pref-Fiscal'!S117&amp;" - "&amp;'Pref-Fiscal'!T117</f>
        <v xml:space="preserve"> - 0005200-70.1996.8.24.0038</v>
      </c>
    </row>
    <row r="98" spans="2:5">
      <c r="B98" s="379" t="str">
        <f>'Pref-Fiscal'!B118&amp;" - "&amp;'Pref-Fiscal'!C118</f>
        <v>Estado de Santa Catarina - FUNJURE</v>
      </c>
      <c r="C98" s="388">
        <f>'Pref-Fiscal'!R118</f>
        <v>162.81300000000002</v>
      </c>
      <c r="D98" s="426"/>
      <c r="E98" s="379" t="str">
        <f>'Pref-Fiscal'!S118&amp;" - "&amp;'Pref-Fiscal'!T118</f>
        <v xml:space="preserve"> - 0005200-70.1996.8.24.0038</v>
      </c>
    </row>
    <row r="99" spans="2:5">
      <c r="B99" s="379" t="str">
        <f>'Pref-Fiscal'!B119&amp;" - "&amp;'Pref-Fiscal'!C119</f>
        <v>Estado de Santa Catarina - FUNJURE</v>
      </c>
      <c r="C99" s="388">
        <f>'Pref-Fiscal'!R119</f>
        <v>229.23800000000003</v>
      </c>
      <c r="D99" s="426"/>
      <c r="E99" s="379" t="str">
        <f>'Pref-Fiscal'!S119&amp;" - "&amp;'Pref-Fiscal'!T119</f>
        <v xml:space="preserve"> - 0005200-70.1996.8.24.0038</v>
      </c>
    </row>
    <row r="100" spans="2:5">
      <c r="B100" s="379" t="str">
        <f>'Pref-Fiscal'!B120&amp;" - "&amp;'Pref-Fiscal'!C120</f>
        <v>Estado de Santa Catarina - FUNJURE</v>
      </c>
      <c r="C100" s="388">
        <f>'Pref-Fiscal'!R120</f>
        <v>336.97700000000003</v>
      </c>
      <c r="D100" s="426"/>
      <c r="E100" s="379" t="str">
        <f>'Pref-Fiscal'!S120&amp;" - "&amp;'Pref-Fiscal'!T120</f>
        <v xml:space="preserve"> - 0005200-70.1996.8.24.0038</v>
      </c>
    </row>
    <row r="101" spans="2:5">
      <c r="B101" s="379" t="str">
        <f>'Pref-Fiscal'!B121&amp;" - "&amp;'Pref-Fiscal'!C121</f>
        <v>Estado de Santa Catarina - FUNJURE</v>
      </c>
      <c r="C101" s="388">
        <f>'Pref-Fiscal'!R121</f>
        <v>869.49200000000008</v>
      </c>
      <c r="D101" s="426"/>
      <c r="E101" s="379" t="str">
        <f>'Pref-Fiscal'!S121&amp;" - "&amp;'Pref-Fiscal'!T121</f>
        <v xml:space="preserve"> - 0005200-70.1996.8.24.0038</v>
      </c>
    </row>
    <row r="102" spans="2:5">
      <c r="B102" s="379" t="str">
        <f>'Pref-Fiscal'!B122&amp;" - "&amp;'Pref-Fiscal'!C122</f>
        <v>Estado de Santa Catarina - FUNJURE</v>
      </c>
      <c r="C102" s="388">
        <f>'Pref-Fiscal'!R122</f>
        <v>49.7395</v>
      </c>
      <c r="D102" s="426"/>
      <c r="E102" s="379" t="str">
        <f>'Pref-Fiscal'!S122&amp;" - "&amp;'Pref-Fiscal'!T122</f>
        <v xml:space="preserve"> - 0005200-70.1996.8.24.0038</v>
      </c>
    </row>
    <row r="103" spans="2:5">
      <c r="B103" s="379" t="str">
        <f>'Pref-Fiscal'!B123&amp;" - "&amp;'Pref-Fiscal'!C123</f>
        <v>Estado de Santa Catarina - FUNJURE</v>
      </c>
      <c r="C103" s="388">
        <f>'Pref-Fiscal'!R123</f>
        <v>59.087000000000003</v>
      </c>
      <c r="D103" s="426"/>
      <c r="E103" s="379" t="str">
        <f>'Pref-Fiscal'!S123&amp;" - "&amp;'Pref-Fiscal'!T123</f>
        <v xml:space="preserve"> - 0005200-70.1996.8.24.0038</v>
      </c>
    </row>
    <row r="104" spans="2:5">
      <c r="B104" s="379" t="str">
        <f>'Pref-Fiscal'!B124&amp;" - "&amp;'Pref-Fiscal'!C124</f>
        <v>Estado de Santa Catarina - FUNJURE</v>
      </c>
      <c r="C104" s="388">
        <f>'Pref-Fiscal'!R124</f>
        <v>592.90800000000002</v>
      </c>
      <c r="D104" s="426"/>
      <c r="E104" s="379" t="str">
        <f>'Pref-Fiscal'!S124&amp;" - "&amp;'Pref-Fiscal'!T124</f>
        <v xml:space="preserve"> - 0005192-93.1996.8.24.0038</v>
      </c>
    </row>
    <row r="105" spans="2:5">
      <c r="B105" s="379" t="str">
        <f>'Pref-Fiscal'!B125&amp;" - "&amp;'Pref-Fiscal'!C125</f>
        <v>Estado de Santa Catarina - FUNJURE</v>
      </c>
      <c r="C105" s="388">
        <f>'Pref-Fiscal'!R125</f>
        <v>180.40050000000002</v>
      </c>
      <c r="D105" s="426"/>
      <c r="E105" s="379" t="str">
        <f>'Pref-Fiscal'!S125&amp;" - "&amp;'Pref-Fiscal'!T125</f>
        <v xml:space="preserve"> - 0005192-93.1996.8.24.0038</v>
      </c>
    </row>
    <row r="106" spans="2:5">
      <c r="B106" s="379" t="str">
        <f>'Pref-Fiscal'!B126&amp;" - "&amp;'Pref-Fiscal'!C126</f>
        <v>Estado de Santa Catarina - FUNJURE</v>
      </c>
      <c r="C106" s="388">
        <f>'Pref-Fiscal'!R126</f>
        <v>80.086500000000001</v>
      </c>
      <c r="D106" s="426"/>
      <c r="E106" s="379" t="str">
        <f>'Pref-Fiscal'!S126&amp;" - "&amp;'Pref-Fiscal'!T126</f>
        <v xml:space="preserve"> - 0005192-93.1996.8.24.0038</v>
      </c>
    </row>
    <row r="107" spans="2:5">
      <c r="B107" s="379" t="str">
        <f>'Pref-Fiscal'!B127&amp;" - "&amp;'Pref-Fiscal'!C127</f>
        <v>Estado de Santa Catarina - FUNJURE</v>
      </c>
      <c r="C107" s="388">
        <f>'Pref-Fiscal'!R127</f>
        <v>67.023499999999999</v>
      </c>
      <c r="D107" s="426"/>
      <c r="E107" s="379" t="str">
        <f>'Pref-Fiscal'!S127&amp;" - "&amp;'Pref-Fiscal'!T127</f>
        <v xml:space="preserve"> - 0005192-93.1996.8.24.0038</v>
      </c>
    </row>
    <row r="108" spans="2:5">
      <c r="B108" s="379" t="str">
        <f>'Pref-Fiscal'!B128&amp;" - "&amp;'Pref-Fiscal'!C128</f>
        <v>Estado de Santa Catarina - FUNJURE</v>
      </c>
      <c r="C108" s="388">
        <f>'Pref-Fiscal'!R128</f>
        <v>163.45050000000003</v>
      </c>
      <c r="D108" s="426"/>
      <c r="E108" s="379" t="str">
        <f>'Pref-Fiscal'!S128&amp;" - "&amp;'Pref-Fiscal'!T128</f>
        <v xml:space="preserve"> - 0005192-93.1996.8.24.0038</v>
      </c>
    </row>
    <row r="109" spans="2:5">
      <c r="B109" s="379" t="str">
        <f>'Pref-Fiscal'!B129&amp;" - "&amp;'Pref-Fiscal'!C129</f>
        <v>Estado de Santa Catarina - FUNJURE</v>
      </c>
      <c r="C109" s="388">
        <f>'Pref-Fiscal'!R129</f>
        <v>71.703500000000005</v>
      </c>
      <c r="D109" s="426"/>
      <c r="E109" s="379" t="str">
        <f>'Pref-Fiscal'!S129&amp;" - "&amp;'Pref-Fiscal'!T129</f>
        <v xml:space="preserve"> - 0005192-93.1996.8.24.0038</v>
      </c>
    </row>
    <row r="110" spans="2:5">
      <c r="B110" s="379" t="str">
        <f>'Pref-Fiscal'!B130&amp;" - "&amp;'Pref-Fiscal'!C130</f>
        <v>Estado de Santa Catarina - FUNJURE</v>
      </c>
      <c r="C110" s="388">
        <f>'Pref-Fiscal'!R130</f>
        <v>207.4665</v>
      </c>
      <c r="D110" s="426"/>
      <c r="E110" s="379" t="str">
        <f>'Pref-Fiscal'!S130&amp;" - "&amp;'Pref-Fiscal'!T130</f>
        <v xml:space="preserve"> - 0005192-93.1996.8.24.0038</v>
      </c>
    </row>
    <row r="111" spans="2:5">
      <c r="B111" s="379" t="str">
        <f>'Pref-Fiscal'!B131&amp;" - "&amp;'Pref-Fiscal'!C131</f>
        <v>Estado de Santa Catarina - FUNJURE</v>
      </c>
      <c r="C111" s="388">
        <f>'Pref-Fiscal'!R131</f>
        <v>42.308500000000002</v>
      </c>
      <c r="D111" s="426"/>
      <c r="E111" s="379" t="str">
        <f>'Pref-Fiscal'!S131&amp;" - "&amp;'Pref-Fiscal'!T131</f>
        <v xml:space="preserve"> - 0005192-93.1996.8.24.0038</v>
      </c>
    </row>
    <row r="112" spans="2:5">
      <c r="B112" s="379" t="str">
        <f>'Pref-Fiscal'!B132&amp;" - "&amp;'Pref-Fiscal'!C132</f>
        <v>Estado de Santa Catarina - FUNJURE</v>
      </c>
      <c r="C112" s="388">
        <f>'Pref-Fiscal'!R132</f>
        <v>14.233500000000001</v>
      </c>
      <c r="D112" s="426"/>
      <c r="E112" s="379" t="str">
        <f>'Pref-Fiscal'!S132&amp;" - "&amp;'Pref-Fiscal'!T132</f>
        <v xml:space="preserve"> - 0005192-93.1996.8.24.0038</v>
      </c>
    </row>
    <row r="113" spans="2:5">
      <c r="B113" s="379" t="str">
        <f>'Pref-Fiscal'!B133&amp;" - "&amp;'Pref-Fiscal'!C133</f>
        <v>Estado de Santa Catarina - FUNJURE</v>
      </c>
      <c r="C113" s="388">
        <f>'Pref-Fiscal'!R133</f>
        <v>60.478000000000002</v>
      </c>
      <c r="D113" s="426"/>
      <c r="E113" s="379" t="str">
        <f>'Pref-Fiscal'!S133&amp;" - "&amp;'Pref-Fiscal'!T133</f>
        <v xml:space="preserve"> - 0005196-33.1996.8.24.0038</v>
      </c>
    </row>
    <row r="114" spans="2:5">
      <c r="B114" s="379" t="str">
        <f>'Pref-Fiscal'!B134&amp;" - "&amp;'Pref-Fiscal'!C134</f>
        <v>Estado de Santa Catarina - FUNJURE</v>
      </c>
      <c r="C114" s="388">
        <f>'Pref-Fiscal'!R134</f>
        <v>692.54300000000012</v>
      </c>
      <c r="D114" s="426"/>
      <c r="E114" s="379" t="str">
        <f>'Pref-Fiscal'!S134&amp;" - "&amp;'Pref-Fiscal'!T134</f>
        <v xml:space="preserve"> - 0005196-33.1996.8.24.0038</v>
      </c>
    </row>
    <row r="115" spans="2:5">
      <c r="B115" s="379" t="str">
        <f>'Pref-Fiscal'!B135&amp;" - "&amp;'Pref-Fiscal'!C135</f>
        <v>Estado de Santa Catarina - FUNJURE</v>
      </c>
      <c r="C115" s="388">
        <f>'Pref-Fiscal'!R135</f>
        <v>66.912999999999997</v>
      </c>
      <c r="D115" s="426"/>
      <c r="E115" s="379" t="str">
        <f>'Pref-Fiscal'!S135&amp;" - "&amp;'Pref-Fiscal'!T135</f>
        <v xml:space="preserve"> - 0005196-33.1996.8.24.0038</v>
      </c>
    </row>
    <row r="116" spans="2:5">
      <c r="B116" s="379" t="str">
        <f>'Pref-Fiscal'!B136&amp;" - "&amp;'Pref-Fiscal'!C136</f>
        <v>Estado de Santa Catarina - FUNJURE</v>
      </c>
      <c r="C116" s="388">
        <f>'Pref-Fiscal'!R136</f>
        <v>15.474000000000002</v>
      </c>
      <c r="D116" s="426"/>
      <c r="E116" s="379" t="str">
        <f>'Pref-Fiscal'!S136&amp;" - "&amp;'Pref-Fiscal'!T136</f>
        <v xml:space="preserve"> - 0005196-33.1996.8.24.0038</v>
      </c>
    </row>
    <row r="117" spans="2:5">
      <c r="B117" s="379" t="str">
        <f>'Pref-Fiscal'!B137&amp;" - "&amp;'Pref-Fiscal'!C137</f>
        <v>Estado de Santa Catarina - FUNJURE</v>
      </c>
      <c r="C117" s="388">
        <f>'Pref-Fiscal'!R137</f>
        <v>81.117999999999995</v>
      </c>
      <c r="D117" s="426"/>
      <c r="E117" s="379" t="str">
        <f>'Pref-Fiscal'!S137&amp;" - "&amp;'Pref-Fiscal'!T137</f>
        <v xml:space="preserve"> - 0005196-33.1996.8.24.0038</v>
      </c>
    </row>
    <row r="118" spans="2:5">
      <c r="B118" s="379" t="str">
        <f>'Pref-Fiscal'!B138&amp;" - "&amp;'Pref-Fiscal'!C138</f>
        <v>Estado de Santa Catarina - FUNJURE</v>
      </c>
      <c r="C118" s="388">
        <f>'Pref-Fiscal'!R138</f>
        <v>145.0145</v>
      </c>
      <c r="D118" s="426"/>
      <c r="E118" s="379" t="str">
        <f>'Pref-Fiscal'!S138&amp;" - "&amp;'Pref-Fiscal'!T138</f>
        <v xml:space="preserve"> - 0005196-33.1996.8.24.0038</v>
      </c>
    </row>
    <row r="119" spans="2:5">
      <c r="B119" s="379" t="str">
        <f>'Pref-Fiscal'!B139&amp;" - "&amp;'Pref-Fiscal'!C139</f>
        <v>Estado de Santa Catarina - FUNJURE</v>
      </c>
      <c r="C119" s="388">
        <f>'Pref-Fiscal'!R139</f>
        <v>50.032499999999999</v>
      </c>
      <c r="D119" s="426"/>
      <c r="E119" s="379" t="str">
        <f>'Pref-Fiscal'!S139&amp;" - "&amp;'Pref-Fiscal'!T139</f>
        <v xml:space="preserve"> - 0005196-33.1996.8.24.0038</v>
      </c>
    </row>
    <row r="120" spans="2:5">
      <c r="B120" s="379" t="str">
        <f>'Pref-Fiscal'!B140&amp;" - "&amp;'Pref-Fiscal'!C140</f>
        <v>Estado de Santa Catarina - FUNJURE</v>
      </c>
      <c r="C120" s="388">
        <f>'Pref-Fiscal'!R140</f>
        <v>142.20650000000001</v>
      </c>
      <c r="D120" s="426"/>
      <c r="E120" s="379" t="str">
        <f>'Pref-Fiscal'!S140&amp;" - "&amp;'Pref-Fiscal'!T140</f>
        <v xml:space="preserve"> - 0005192-93.1996.8.24.0038</v>
      </c>
    </row>
    <row r="121" spans="2:5">
      <c r="B121" s="379" t="str">
        <f>'Pref-Fiscal'!B141&amp;" - "&amp;'Pref-Fiscal'!C141</f>
        <v>Estado de Santa Catarina - FUNJURE</v>
      </c>
      <c r="C121" s="388">
        <f>'Pref-Fiscal'!R141</f>
        <v>409.93450000000007</v>
      </c>
      <c r="D121" s="426"/>
      <c r="E121" s="379" t="str">
        <f>'Pref-Fiscal'!S141&amp;" - "&amp;'Pref-Fiscal'!T141</f>
        <v xml:space="preserve"> - 0005192-93.1996.8.24.0038</v>
      </c>
    </row>
    <row r="122" spans="2:5">
      <c r="B122" s="379" t="str">
        <f>'Pref-Fiscal'!B142&amp;" - "&amp;'Pref-Fiscal'!C142</f>
        <v>Estado de Santa Catarina - FUNJURE</v>
      </c>
      <c r="C122" s="388">
        <f>'Pref-Fiscal'!R142</f>
        <v>180.97500000000002</v>
      </c>
      <c r="D122" s="426"/>
      <c r="E122" s="379" t="str">
        <f>'Pref-Fiscal'!S142&amp;" - "&amp;'Pref-Fiscal'!T142</f>
        <v xml:space="preserve"> - 0005192-93.1996.8.24.0038</v>
      </c>
    </row>
    <row r="123" spans="2:5">
      <c r="B123" s="379" t="str">
        <f>'Pref-Fiscal'!B143&amp;" - "&amp;'Pref-Fiscal'!C143</f>
        <v>Estado de Santa Catarina - FUNJURE</v>
      </c>
      <c r="C123" s="388">
        <f>'Pref-Fiscal'!R143</f>
        <v>2368.0515</v>
      </c>
      <c r="D123" s="426"/>
      <c r="E123" s="379" t="str">
        <f>'Pref-Fiscal'!S143&amp;" - "&amp;'Pref-Fiscal'!T143</f>
        <v xml:space="preserve"> - -</v>
      </c>
    </row>
    <row r="124" spans="2:5">
      <c r="B124" s="382" t="str">
        <f>'Pref-Fiscal'!B144&amp;" - "&amp;'Pref-Fiscal'!C144</f>
        <v>Estado de Santa Catarina - FUNJURE</v>
      </c>
      <c r="C124" s="390">
        <f>'Pref-Fiscal'!R144</f>
        <v>109.31450000000001</v>
      </c>
      <c r="D124" s="428"/>
      <c r="E124" s="382" t="str">
        <f>'Pref-Fiscal'!S144&amp;" - "&amp;'Pref-Fiscal'!T144</f>
        <v xml:space="preserve"> - 0003291-90.1996.8.24.0038</v>
      </c>
    </row>
    <row r="125" spans="2:5">
      <c r="B125" s="402" t="s">
        <v>807</v>
      </c>
      <c r="C125" s="406">
        <f>SUM(C14:C124)</f>
        <v>331295.83599999984</v>
      </c>
      <c r="D125" s="406">
        <f>SUM(D14:D124)</f>
        <v>331295.83600000001</v>
      </c>
    </row>
    <row r="127" spans="2:5">
      <c r="C127" s="208">
        <f>C125-'Pref-Fiscal'!R174</f>
        <v>-464.43000000005122</v>
      </c>
    </row>
    <row r="129" spans="2:5">
      <c r="B129" s="416" t="s">
        <v>814</v>
      </c>
      <c r="C129" s="416"/>
      <c r="D129" s="416"/>
      <c r="E129" s="416"/>
    </row>
    <row r="130" spans="2:5" ht="26.25">
      <c r="B130" s="404" t="s">
        <v>423</v>
      </c>
      <c r="C130" s="405" t="s">
        <v>812</v>
      </c>
      <c r="D130" s="405" t="s">
        <v>813</v>
      </c>
      <c r="E130" s="404" t="s">
        <v>94</v>
      </c>
    </row>
    <row r="131" spans="2:5">
      <c r="B131" s="376" t="str">
        <f>'Pref-EncargoMassa'!B22</f>
        <v>Municipio de Joinville</v>
      </c>
      <c r="C131" s="397">
        <f>'Pref-EncargoMassa'!R22</f>
        <v>7750.74</v>
      </c>
      <c r="D131" s="417">
        <f>SUM(C131:C135)</f>
        <v>55076.87</v>
      </c>
      <c r="E131" s="376" t="str">
        <f>'Pref-EncargoMassa'!S22&amp;" - "&amp;'Pref-EncargoMassa'!T22</f>
        <v>Ev. 997 - Execução Fiscal n. 0903959-98.2017.8.24.0038 - CDA 4866/2017</v>
      </c>
    </row>
    <row r="132" spans="2:5">
      <c r="B132" s="379" t="str">
        <f>'Pref-EncargoMassa'!B23</f>
        <v>Municipio de Joinville</v>
      </c>
      <c r="C132" s="398">
        <f>'Pref-EncargoMassa'!R23</f>
        <v>9189.3700000000008</v>
      </c>
      <c r="D132" s="418"/>
      <c r="E132" s="379" t="str">
        <f>'Pref-EncargoMassa'!S23&amp;" - "&amp;'Pref-EncargoMassa'!T23</f>
        <v>Ev. 997 - Execução Fiscal n. 5019527-26.2019.8.24.0038 - CDA 18965/2019</v>
      </c>
    </row>
    <row r="133" spans="2:5">
      <c r="B133" s="379" t="str">
        <f>'Pref-EncargoMassa'!B24</f>
        <v>Municipio de Joinville</v>
      </c>
      <c r="C133" s="398">
        <f>'Pref-EncargoMassa'!R24</f>
        <v>8515.2900000000009</v>
      </c>
      <c r="D133" s="418"/>
      <c r="E133" s="379" t="str">
        <f>'Pref-EncargoMassa'!S24&amp;" - "&amp;'Pref-EncargoMassa'!T24</f>
        <v>Ev. 997 - Execução Fiscal n. 0902886-57.2018.8.24.0038 - CDA 9180/2018</v>
      </c>
    </row>
    <row r="134" spans="2:5">
      <c r="B134" s="379" t="str">
        <f>'Pref-EncargoMassa'!B25</f>
        <v>Municipio de Joinville</v>
      </c>
      <c r="C134" s="398">
        <f>'Pref-EncargoMassa'!R25</f>
        <v>20202.54</v>
      </c>
      <c r="D134" s="418"/>
      <c r="E134" s="379" t="str">
        <f>'Pref-EncargoMassa'!S25&amp;" - "&amp;'Pref-EncargoMassa'!T25</f>
        <v>Ev. 997 - Execução Fiscal n. 5014350-53.2024.8.24.0023 - CDAs 1404 e 1405/2014</v>
      </c>
    </row>
    <row r="135" spans="2:5">
      <c r="B135" s="382" t="str">
        <f>'Pref-EncargoMassa'!B26</f>
        <v>Municipio de Joinville</v>
      </c>
      <c r="C135" s="399">
        <f>'Pref-EncargoMassa'!R26</f>
        <v>9418.93</v>
      </c>
      <c r="D135" s="419"/>
      <c r="E135" s="382" t="str">
        <f>'Pref-EncargoMassa'!S26&amp;" - "&amp;'Pref-EncargoMassa'!T26</f>
        <v>Ev. 997 - Execução Fiscal n. 5088935-47.2022.8.24.0023 - CDAs 42608/2022</v>
      </c>
    </row>
    <row r="136" spans="2:5">
      <c r="B136" s="407" t="s">
        <v>807</v>
      </c>
      <c r="C136" s="408">
        <f>SUM(C131:C135)</f>
        <v>55076.87</v>
      </c>
      <c r="D136" s="408">
        <f>SUM(D131:D135)</f>
        <v>55076.87</v>
      </c>
    </row>
    <row r="140" spans="2:5">
      <c r="B140" s="420" t="s">
        <v>815</v>
      </c>
      <c r="C140" s="421"/>
    </row>
    <row r="141" spans="2:5" ht="26.25">
      <c r="B141" s="404" t="s">
        <v>423</v>
      </c>
      <c r="C141" s="405" t="s">
        <v>812</v>
      </c>
    </row>
    <row r="142" spans="2:5">
      <c r="B142" s="376" t="str">
        <f>'Credores Quirografarios '!B5</f>
        <v xml:space="preserve">3M do Brasil Ltda </v>
      </c>
      <c r="C142" s="386">
        <f>'Credores Quirografarios '!G5</f>
        <v>21.716483636363638</v>
      </c>
    </row>
    <row r="143" spans="2:5">
      <c r="B143" s="379" t="str">
        <f>'Credores Quirografarios '!B6</f>
        <v xml:space="preserve">A B Loss e Cia Ltda </v>
      </c>
      <c r="C143" s="388">
        <f>'Credores Quirografarios '!G6</f>
        <v>127.61423272727274</v>
      </c>
    </row>
    <row r="144" spans="2:5">
      <c r="B144" s="379" t="str">
        <f>'Credores Quirografarios '!B7</f>
        <v xml:space="preserve">A C L Com. e Verduras Ltda </v>
      </c>
      <c r="C144" s="388">
        <f>'Credores Quirografarios '!G7</f>
        <v>807.15083636363624</v>
      </c>
    </row>
    <row r="145" spans="2:3">
      <c r="B145" s="379" t="str">
        <f>'Credores Quirografarios '!B8</f>
        <v>Acacio Jorge Bruno Neves</v>
      </c>
      <c r="C145" s="388">
        <f>'Credores Quirografarios '!G8</f>
        <v>500.95022545454549</v>
      </c>
    </row>
    <row r="146" spans="2:3">
      <c r="B146" s="379" t="str">
        <f>'Credores Quirografarios '!B9</f>
        <v>ACG-Industria Alimentícia Ltda</v>
      </c>
      <c r="C146" s="388">
        <f>'Credores Quirografarios '!G9</f>
        <v>131.21832363636364</v>
      </c>
    </row>
    <row r="147" spans="2:3">
      <c r="B147" s="379" t="str">
        <f>'Credores Quirografarios '!B10</f>
        <v>Adolar Kasulke</v>
      </c>
      <c r="C147" s="388">
        <f>'Credores Quirografarios '!G10</f>
        <v>219.27950181818181</v>
      </c>
    </row>
    <row r="148" spans="2:3">
      <c r="B148" s="379" t="str">
        <f>'Credores Quirografarios '!B11</f>
        <v xml:space="preserve">Agro Com. Novo Mundo Ltda </v>
      </c>
      <c r="C148" s="388">
        <f>'Credores Quirografarios '!G11</f>
        <v>42.605498181818177</v>
      </c>
    </row>
    <row r="149" spans="2:3">
      <c r="B149" s="379" t="str">
        <f>'Credores Quirografarios '!B12</f>
        <v xml:space="preserve">Agro Comercial Colombense Ltda </v>
      </c>
      <c r="C149" s="388">
        <f>'Credores Quirografarios '!G12</f>
        <v>18.204334545454543</v>
      </c>
    </row>
    <row r="150" spans="2:3">
      <c r="B150" s="379" t="str">
        <f>'Credores Quirografarios '!B13</f>
        <v>Agroeliane S/A Ind. de Alimentos</v>
      </c>
      <c r="C150" s="388">
        <f>'Credores Quirografarios '!G13</f>
        <v>728.66992000000005</v>
      </c>
    </row>
    <row r="151" spans="2:3">
      <c r="B151" s="379" t="str">
        <f>'Credores Quirografarios '!B14</f>
        <v xml:space="preserve">Ailiram S/A Produtos Alimentícios </v>
      </c>
      <c r="C151" s="388">
        <f>'Credores Quirografarios '!G14</f>
        <v>283.63826545454543</v>
      </c>
    </row>
    <row r="152" spans="2:3">
      <c r="B152" s="379" t="str">
        <f>'Credores Quirografarios '!B15</f>
        <v>Albercht Carnes Nobres Ltda</v>
      </c>
      <c r="C152" s="388">
        <f>'Credores Quirografarios '!G15</f>
        <v>1100.3877490909092</v>
      </c>
    </row>
    <row r="153" spans="2:3">
      <c r="B153" s="379" t="str">
        <f>'Credores Quirografarios '!B16</f>
        <v xml:space="preserve">Alceu Breda e Cia Ltda </v>
      </c>
      <c r="C153" s="388">
        <f>'Credores Quirografarios '!G16</f>
        <v>117.00422909090909</v>
      </c>
    </row>
    <row r="154" spans="2:3">
      <c r="B154" s="379" t="str">
        <f>'Credores Quirografarios '!B17</f>
        <v>ALDI - Mercantil e Empreendimentos Ltda</v>
      </c>
      <c r="C154" s="388">
        <f>'Credores Quirografarios '!G17</f>
        <v>899.64357454545461</v>
      </c>
    </row>
    <row r="155" spans="2:3">
      <c r="B155" s="379" t="str">
        <f>'Credores Quirografarios '!B18</f>
        <v>Alfredo Bucheim S/A Ind. Com.</v>
      </c>
      <c r="C155" s="388">
        <f>'Credores Quirografarios '!G18</f>
        <v>45.455672727272727</v>
      </c>
    </row>
    <row r="156" spans="2:3">
      <c r="B156" s="379" t="str">
        <f>'Credores Quirografarios '!B19</f>
        <v>Alim. Congelados Freezer Bom Ltda</v>
      </c>
      <c r="C156" s="388">
        <f>'Credores Quirografarios '!G19</f>
        <v>51.468621818181816</v>
      </c>
    </row>
    <row r="157" spans="2:3">
      <c r="B157" s="379" t="str">
        <f>'Credores Quirografarios '!B20</f>
        <v xml:space="preserve">Alimenticios Sasse Ltda </v>
      </c>
      <c r="C157" s="388">
        <f>'Credores Quirografarios '!G20</f>
        <v>684.88757090909098</v>
      </c>
    </row>
    <row r="158" spans="2:3">
      <c r="B158" s="379" t="str">
        <f>'Credores Quirografarios '!B21</f>
        <v xml:space="preserve">Amend. e Cia. Ltda Com. e Repres. </v>
      </c>
      <c r="C158" s="388">
        <f>'Credores Quirografarios '!G21</f>
        <v>174.46741090909092</v>
      </c>
    </row>
    <row r="159" spans="2:3">
      <c r="B159" s="379" t="str">
        <f>'Credores Quirografarios '!B22</f>
        <v xml:space="preserve">Antonio Sassaki E Filho Ltda </v>
      </c>
      <c r="C159" s="388">
        <f>'Credores Quirografarios '!G22</f>
        <v>26.846796363636365</v>
      </c>
    </row>
    <row r="160" spans="2:3">
      <c r="B160" s="379" t="str">
        <f>'Credores Quirografarios '!B23</f>
        <v xml:space="preserve">Araucaria Com. e Repres. Ltda </v>
      </c>
      <c r="C160" s="388">
        <f>'Credores Quirografarios '!G23</f>
        <v>34.680178181818185</v>
      </c>
    </row>
    <row r="161" spans="2:3">
      <c r="B161" s="379" t="str">
        <f>'Credores Quirografarios '!B24</f>
        <v xml:space="preserve">Arco-Iris Prod. Alimenticios Ltda </v>
      </c>
      <c r="C161" s="388">
        <f>'Credores Quirografarios '!G24</f>
        <v>15.666759999999998</v>
      </c>
    </row>
    <row r="162" spans="2:3">
      <c r="B162" s="379" t="str">
        <f>'Credores Quirografarios '!B25</f>
        <v>Arisco Prod. Alimentícios Ltda</v>
      </c>
      <c r="C162" s="388">
        <f>'Credores Quirografarios '!G25</f>
        <v>6280.0729890909088</v>
      </c>
    </row>
    <row r="163" spans="2:3">
      <c r="B163" s="379" t="str">
        <f>'Credores Quirografarios '!B26</f>
        <v>Atlantis Brasil Com. e Ind. Ltda</v>
      </c>
      <c r="C163" s="388">
        <f>'Credores Quirografarios '!G26</f>
        <v>371.60749818181819</v>
      </c>
    </row>
    <row r="164" spans="2:3">
      <c r="B164" s="379" t="str">
        <f>'Credores Quirografarios '!B27</f>
        <v>Augusto Wilke</v>
      </c>
      <c r="C164" s="388">
        <f>'Credores Quirografarios '!G27</f>
        <v>7.723050909090909</v>
      </c>
    </row>
    <row r="165" spans="2:3">
      <c r="B165" s="379" t="str">
        <f>'Credores Quirografarios '!B28</f>
        <v xml:space="preserve">Auto Peças Procarro Ltda </v>
      </c>
      <c r="C165" s="388">
        <f>'Credores Quirografarios '!G28</f>
        <v>16.604559999999999</v>
      </c>
    </row>
    <row r="166" spans="2:3">
      <c r="B166" s="379" t="str">
        <f>'Credores Quirografarios '!B29</f>
        <v xml:space="preserve">Bardusch Arrendam. Texteis Ltda </v>
      </c>
      <c r="C166" s="388">
        <f>'Credores Quirografarios '!G29</f>
        <v>9.2492727272727269</v>
      </c>
    </row>
    <row r="167" spans="2:3">
      <c r="B167" s="379" t="str">
        <f>'Credores Quirografarios '!B30</f>
        <v>Baumhardt Irmãos S/A</v>
      </c>
      <c r="C167" s="388">
        <f>'Credores Quirografarios '!G30</f>
        <v>607.89610181818182</v>
      </c>
    </row>
    <row r="168" spans="2:3">
      <c r="B168" s="379" t="str">
        <f>'Credores Quirografarios '!B31</f>
        <v>Belpar Distr. de Cosméticos Ltda</v>
      </c>
      <c r="C168" s="388">
        <f>'Credores Quirografarios '!G31</f>
        <v>143.24421818181818</v>
      </c>
    </row>
    <row r="169" spans="2:3">
      <c r="B169" s="379" t="str">
        <f>'Credores Quirografarios '!B32</f>
        <v xml:space="preserve">Bem Forte Distr. de Prod. Ind. Ltda </v>
      </c>
      <c r="C169" s="388">
        <f>'Credores Quirografarios '!G32</f>
        <v>514.52073090909096</v>
      </c>
    </row>
    <row r="170" spans="2:3">
      <c r="B170" s="379" t="str">
        <f>'Credores Quirografarios '!B33</f>
        <v xml:space="preserve">Beralv Clorosul S/A Ind. Com. </v>
      </c>
      <c r="C170" s="388">
        <f>'Credores Quirografarios '!G33</f>
        <v>252.56217454545452</v>
      </c>
    </row>
    <row r="171" spans="2:3">
      <c r="B171" s="379" t="str">
        <f>'Credores Quirografarios '!B34</f>
        <v>Besa Borracha Esponja S/A</v>
      </c>
      <c r="C171" s="388">
        <f>'Credores Quirografarios '!G34</f>
        <v>53.050007272727271</v>
      </c>
    </row>
    <row r="172" spans="2:3">
      <c r="B172" s="379" t="str">
        <f>'Credores Quirografarios '!B35</f>
        <v xml:space="preserve">Boa Safra Com. Frut. Verd. e Cere. </v>
      </c>
      <c r="C172" s="388">
        <f>'Credores Quirografarios '!G35</f>
        <v>51.487010909090905</v>
      </c>
    </row>
    <row r="173" spans="2:3">
      <c r="B173" s="379" t="str">
        <f>'Credores Quirografarios '!B36</f>
        <v xml:space="preserve">Bradesco S/A </v>
      </c>
      <c r="C173" s="388">
        <f>'Credores Quirografarios '!G36</f>
        <v>14710.574545454545</v>
      </c>
    </row>
    <row r="174" spans="2:3">
      <c r="B174" s="379" t="str">
        <f>'Credores Quirografarios '!B37</f>
        <v xml:space="preserve">Bretzke Ind. Com. de Prod. Alim. Ltda </v>
      </c>
      <c r="C174" s="388">
        <f>'Credores Quirografarios '!G37</f>
        <v>232.73967636363636</v>
      </c>
    </row>
    <row r="175" spans="2:3">
      <c r="B175" s="379" t="str">
        <f>'Credores Quirografarios '!B38</f>
        <v>BRF Brasil Foods S/A</v>
      </c>
      <c r="C175" s="388">
        <f>'Credores Quirografarios '!G38</f>
        <v>2296.7987781818179</v>
      </c>
    </row>
    <row r="176" spans="2:3">
      <c r="B176" s="379" t="str">
        <f>'Credores Quirografarios '!B39</f>
        <v>Buschle Irmaos Ltda</v>
      </c>
      <c r="C176" s="388">
        <f>'Credores Quirografarios '!G39</f>
        <v>1287.5614218181818</v>
      </c>
    </row>
    <row r="177" spans="2:3">
      <c r="B177" s="379" t="str">
        <f>'Credores Quirografarios '!B40</f>
        <v>Café Damasco S/A</v>
      </c>
      <c r="C177" s="388">
        <f>'Credores Quirografarios '!G40</f>
        <v>1051.2728181818181</v>
      </c>
    </row>
    <row r="178" spans="2:3">
      <c r="B178" s="379" t="str">
        <f>'Credores Quirografarios '!B41</f>
        <v xml:space="preserve">Campeiro Prod. Alim. I. E C. Ltda </v>
      </c>
      <c r="C178" s="388">
        <f>'Credores Quirografarios '!G41</f>
        <v>352.59408363636362</v>
      </c>
    </row>
    <row r="179" spans="2:3">
      <c r="B179" s="379" t="str">
        <f>'Credores Quirografarios '!B42</f>
        <v xml:space="preserve">Carlos Stern e Cia Ltda </v>
      </c>
      <c r="C179" s="388">
        <f>'Credores Quirografarios '!G42</f>
        <v>1209.4114945454544</v>
      </c>
    </row>
    <row r="180" spans="2:3">
      <c r="B180" s="379" t="str">
        <f>'Credores Quirografarios '!B43</f>
        <v>Casa Do Panificador Ind. e Com. Ltda</v>
      </c>
      <c r="C180" s="388">
        <f>'Credores Quirografarios '!G43</f>
        <v>1318.8397818181818</v>
      </c>
    </row>
    <row r="181" spans="2:3">
      <c r="B181" s="379" t="str">
        <f>'Credores Quirografarios '!B44</f>
        <v>Casa Do Panificador Ind. e Com. Ltda</v>
      </c>
      <c r="C181" s="388">
        <f>'Credores Quirografarios '!G44</f>
        <v>1306.1335236363636</v>
      </c>
    </row>
    <row r="182" spans="2:3">
      <c r="B182" s="379" t="str">
        <f>'Credores Quirografarios '!B45</f>
        <v>Catarinense de Refrigerantes Ltda</v>
      </c>
      <c r="C182" s="388">
        <f>'Credores Quirografarios '!G45</f>
        <v>2457.6221345454546</v>
      </c>
    </row>
    <row r="183" spans="2:3">
      <c r="B183" s="379" t="str">
        <f>'Credores Quirografarios '!B46</f>
        <v xml:space="preserve">Cena Central Atac. Sec. Molhd. Ltda </v>
      </c>
      <c r="C183" s="388">
        <f>'Credores Quirografarios '!G46</f>
        <v>83.335403636363637</v>
      </c>
    </row>
    <row r="184" spans="2:3">
      <c r="B184" s="379" t="str">
        <f>'Credores Quirografarios '!B47</f>
        <v xml:space="preserve">Cerealista Urbano Ltda </v>
      </c>
      <c r="C184" s="388">
        <f>'Credores Quirografarios '!G47</f>
        <v>280.51226545454546</v>
      </c>
    </row>
    <row r="185" spans="2:3">
      <c r="B185" s="379" t="str">
        <f>'Credores Quirografarios '!B48</f>
        <v xml:space="preserve">Cerealista Urbano Ltda </v>
      </c>
      <c r="C185" s="388">
        <f>'Credores Quirografarios '!G48</f>
        <v>119.52341818181819</v>
      </c>
    </row>
    <row r="186" spans="2:3">
      <c r="B186" s="379" t="str">
        <f>'Credores Quirografarios '!B49</f>
        <v>Ceval Agrop. Industrial S/A</v>
      </c>
      <c r="C186" s="388">
        <f>'Credores Quirografarios '!G49</f>
        <v>672.27325454545451</v>
      </c>
    </row>
    <row r="187" spans="2:3">
      <c r="B187" s="379" t="str">
        <f>'Credores Quirografarios '!B50</f>
        <v>Chocolates Garoto S/A</v>
      </c>
      <c r="C187" s="388">
        <f>'Credores Quirografarios '!G50</f>
        <v>1376.9833272727271</v>
      </c>
    </row>
    <row r="188" spans="2:3">
      <c r="B188" s="379" t="str">
        <f>'Credores Quirografarios '!B51</f>
        <v xml:space="preserve">Cia Catarinense de Radio e Televisão </v>
      </c>
      <c r="C188" s="388">
        <f>'Credores Quirografarios '!G51</f>
        <v>590.26180363636365</v>
      </c>
    </row>
    <row r="189" spans="2:3">
      <c r="B189" s="379" t="str">
        <f>'Credores Quirografarios '!B52</f>
        <v xml:space="preserve">Cia Fiat Lux Fosf. de Seg. </v>
      </c>
      <c r="C189" s="388">
        <f>'Credores Quirografarios '!G52</f>
        <v>344.04356000000001</v>
      </c>
    </row>
    <row r="190" spans="2:3">
      <c r="B190" s="379" t="str">
        <f>'Credores Quirografarios '!B53</f>
        <v>Cia Ind. de Conservas Aliment. Cica</v>
      </c>
      <c r="C190" s="388">
        <f>'Credores Quirografarios '!G53</f>
        <v>84.659356363636363</v>
      </c>
    </row>
    <row r="191" spans="2:3">
      <c r="B191" s="379" t="str">
        <f>'Credores Quirografarios '!B54</f>
        <v>Cia Melhoramentos de São Paulo</v>
      </c>
      <c r="C191" s="388">
        <f>'Credores Quirografarios '!G54</f>
        <v>29.972792727272726</v>
      </c>
    </row>
    <row r="192" spans="2:3">
      <c r="B192" s="379" t="str">
        <f>'Credores Quirografarios '!B55</f>
        <v>CIA Mercantil e Ins. Parizotto</v>
      </c>
      <c r="C192" s="388">
        <f>'Credores Quirografarios '!G55</f>
        <v>4535.0494727272726</v>
      </c>
    </row>
    <row r="193" spans="2:3">
      <c r="B193" s="379" t="str">
        <f>'Credores Quirografarios '!B56</f>
        <v xml:space="preserve">Cia Wetzel Ind. </v>
      </c>
      <c r="C193" s="388">
        <f>'Credores Quirografarios '!G56</f>
        <v>131.76997090909092</v>
      </c>
    </row>
    <row r="194" spans="2:3">
      <c r="B194" s="379" t="str">
        <f>'Credores Quirografarios '!B57</f>
        <v xml:space="preserve">Cia. Ind. e Mercantil Paoletti </v>
      </c>
      <c r="C194" s="388">
        <f>'Credores Quirografarios '!G57</f>
        <v>192.72691272727272</v>
      </c>
    </row>
    <row r="195" spans="2:3">
      <c r="B195" s="379" t="str">
        <f>'Credores Quirografarios '!B58</f>
        <v xml:space="preserve">Cipla Ind. Produtos do Lar Ltda </v>
      </c>
      <c r="C195" s="388">
        <f>'Credores Quirografarios '!G58</f>
        <v>533.00089090909091</v>
      </c>
    </row>
    <row r="196" spans="2:3">
      <c r="B196" s="379" t="str">
        <f>'Credores Quirografarios '!B59</f>
        <v xml:space="preserve">Climapar Climat. Frutas Ltda </v>
      </c>
      <c r="C196" s="388">
        <f>'Credores Quirografarios '!G59</f>
        <v>305.7960654545455</v>
      </c>
    </row>
    <row r="197" spans="2:3">
      <c r="B197" s="379" t="str">
        <f>'Credores Quirografarios '!B60</f>
        <v>Cobra Comput. Sist. Brasileiros S/A</v>
      </c>
      <c r="C197" s="388">
        <f>'Credores Quirografarios '!G60</f>
        <v>2.2249709090909091</v>
      </c>
    </row>
    <row r="198" spans="2:3">
      <c r="B198" s="379" t="str">
        <f>'Credores Quirografarios '!B61</f>
        <v xml:space="preserve">Colgate Palmolive Ltda </v>
      </c>
      <c r="C198" s="388">
        <f>'Credores Quirografarios '!G61</f>
        <v>455.20033818181815</v>
      </c>
    </row>
    <row r="199" spans="2:3">
      <c r="B199" s="379" t="str">
        <f>'Credores Quirografarios '!B62</f>
        <v xml:space="preserve">Columbia Ind. Mat. de Limpeza Ltda </v>
      </c>
      <c r="C199" s="388">
        <f>'Credores Quirografarios '!G62</f>
        <v>174.5961309090909</v>
      </c>
    </row>
    <row r="200" spans="2:3">
      <c r="B200" s="379" t="str">
        <f>'Credores Quirografarios '!B63</f>
        <v xml:space="preserve">Com. de Bebidas Pagelkopd Ltda </v>
      </c>
      <c r="C200" s="388">
        <f>'Credores Quirografarios '!G63</f>
        <v>64.579421818181814</v>
      </c>
    </row>
    <row r="201" spans="2:3">
      <c r="B201" s="379" t="str">
        <f>'Credores Quirografarios '!B64</f>
        <v xml:space="preserve">Com. de Ferragens Milium Ltda </v>
      </c>
      <c r="C201" s="388">
        <f>'Credores Quirografarios '!G64</f>
        <v>2.8869490909090909</v>
      </c>
    </row>
    <row r="202" spans="2:3">
      <c r="B202" s="379" t="str">
        <f>'Credores Quirografarios '!B65</f>
        <v>Com. de Frutas e Verduras JIN Ltda</v>
      </c>
      <c r="C202" s="388">
        <f>'Credores Quirografarios '!G65</f>
        <v>1849.5789236363637</v>
      </c>
    </row>
    <row r="203" spans="2:3">
      <c r="B203" s="379" t="str">
        <f>'Credores Quirografarios '!B66</f>
        <v xml:space="preserve">Com. de Frutas Sul Bahia Ltda </v>
      </c>
      <c r="C203" s="388">
        <f>'Credores Quirografarios '!G66</f>
        <v>36.408669090909086</v>
      </c>
    </row>
    <row r="204" spans="2:3">
      <c r="B204" s="379" t="str">
        <f>'Credores Quirografarios '!B67</f>
        <v xml:space="preserve">Com. de Frutas Verd. Nipo Brasileira Ltda </v>
      </c>
      <c r="C204" s="388">
        <f>'Credores Quirografarios '!G67</f>
        <v>506.77929090909095</v>
      </c>
    </row>
    <row r="205" spans="2:3">
      <c r="B205" s="379" t="str">
        <f>'Credores Quirografarios '!B68</f>
        <v xml:space="preserve">Com. de Pescados Dejamar Ltda </v>
      </c>
      <c r="C205" s="388">
        <f>'Credores Quirografarios '!G68</f>
        <v>456.39557454545456</v>
      </c>
    </row>
    <row r="206" spans="2:3">
      <c r="B206" s="379" t="str">
        <f>'Credores Quirografarios '!B69</f>
        <v>Com. e Import. Benjamim S/A</v>
      </c>
      <c r="C206" s="388">
        <f>'Credores Quirografarios '!G69</f>
        <v>222.29648727272726</v>
      </c>
    </row>
    <row r="207" spans="2:3">
      <c r="B207" s="379" t="str">
        <f>'Credores Quirografarios '!B70</f>
        <v xml:space="preserve">Com. e Ind. Arthur Zindars Ltda </v>
      </c>
      <c r="C207" s="388">
        <f>'Credores Quirografarios '!G70</f>
        <v>197.78367272727272</v>
      </c>
    </row>
    <row r="208" spans="2:3">
      <c r="B208" s="379" t="str">
        <f>'Credores Quirografarios '!B71</f>
        <v>Com. e Ind. Germano Stein S/A</v>
      </c>
      <c r="C208" s="388">
        <f>'Credores Quirografarios '!G71</f>
        <v>369.52962909090911</v>
      </c>
    </row>
    <row r="209" spans="2:3">
      <c r="B209" s="379" t="str">
        <f>'Credores Quirografarios '!B72</f>
        <v>Com. e Ind. Germano Stein S/A</v>
      </c>
      <c r="C209" s="388">
        <f>'Credores Quirografarios '!G72</f>
        <v>331.04309090909089</v>
      </c>
    </row>
    <row r="210" spans="2:3">
      <c r="B210" s="379" t="str">
        <f>'Credores Quirografarios '!B73</f>
        <v xml:space="preserve">Com. e Repr. Nelson Ltda </v>
      </c>
      <c r="C210" s="388">
        <f>'Credores Quirografarios '!G73</f>
        <v>287.9043309090909</v>
      </c>
    </row>
    <row r="211" spans="2:3">
      <c r="B211" s="379" t="str">
        <f>'Credores Quirografarios '!B74</f>
        <v xml:space="preserve">Com. Frutas e Cereais Jurema Ltda </v>
      </c>
      <c r="C211" s="388">
        <f>'Credores Quirografarios '!G74</f>
        <v>61.048883636363634</v>
      </c>
    </row>
    <row r="212" spans="2:3">
      <c r="B212" s="379" t="str">
        <f>'Credores Quirografarios '!B75</f>
        <v>Com. Vinicola Rio Grandense</v>
      </c>
      <c r="C212" s="388">
        <f>'Credores Quirografarios '!G75</f>
        <v>34.238861818181817</v>
      </c>
    </row>
    <row r="213" spans="2:3">
      <c r="B213" s="379" t="str">
        <f>'Credores Quirografarios '!B76</f>
        <v xml:space="preserve">Comercial Cibrasil Ltda </v>
      </c>
      <c r="C213" s="388">
        <f>'Credores Quirografarios '!G76</f>
        <v>37.751010909090908</v>
      </c>
    </row>
    <row r="214" spans="2:3">
      <c r="B214" s="379" t="str">
        <f>'Credores Quirografarios '!B77</f>
        <v xml:space="preserve">Comercial Imporradora Reis Ltda </v>
      </c>
      <c r="C214" s="388">
        <f>'Credores Quirografarios '!G77</f>
        <v>1211.8203527272728</v>
      </c>
    </row>
    <row r="215" spans="2:3">
      <c r="B215" s="379" t="str">
        <f>'Credores Quirografarios '!B78</f>
        <v xml:space="preserve">Comercio de Bebidas Jaragua Ltda </v>
      </c>
      <c r="C215" s="388">
        <f>'Credores Quirografarios '!G78</f>
        <v>26.662916363636366</v>
      </c>
    </row>
    <row r="216" spans="2:3">
      <c r="B216" s="379" t="str">
        <f>'Credores Quirografarios '!B79</f>
        <v xml:space="preserve">Conde Com. e Imp. Ltda </v>
      </c>
      <c r="C216" s="388">
        <f>'Credores Quirografarios '!G79</f>
        <v>114.28277454545454</v>
      </c>
    </row>
    <row r="217" spans="2:3">
      <c r="B217" s="379" t="str">
        <f>'Credores Quirografarios '!B80</f>
        <v>Conservas Ritter S/A</v>
      </c>
      <c r="C217" s="388">
        <f>'Credores Quirografarios '!G80</f>
        <v>63.292243636363644</v>
      </c>
    </row>
    <row r="218" spans="2:3">
      <c r="B218" s="379" t="str">
        <f>'Credores Quirografarios '!B81</f>
        <v>Contaregis Eqptos de Controle S/A</v>
      </c>
      <c r="C218" s="388">
        <f>'Credores Quirografarios '!G81</f>
        <v>53.252276363636369</v>
      </c>
    </row>
    <row r="219" spans="2:3">
      <c r="B219" s="379" t="str">
        <f>'Credores Quirografarios '!B82</f>
        <v>Coop Cental Catarinense de Laticionios</v>
      </c>
      <c r="C219" s="388">
        <f>'Credores Quirografarios '!G82</f>
        <v>3034.6995854545457</v>
      </c>
    </row>
    <row r="220" spans="2:3">
      <c r="B220" s="379" t="str">
        <f>'Credores Quirografarios '!B83</f>
        <v>Coop Central Laticinios do Parana Ltda</v>
      </c>
      <c r="C220" s="388">
        <f>'Credores Quirografarios '!G83</f>
        <v>1326.8754327272727</v>
      </c>
    </row>
    <row r="221" spans="2:3">
      <c r="B221" s="379" t="str">
        <f>'Credores Quirografarios '!B84</f>
        <v xml:space="preserve">Coop. Agrícola Mista Juriti Ltda </v>
      </c>
      <c r="C221" s="388">
        <f>'Credores Quirografarios '!G84</f>
        <v>219.44499272727273</v>
      </c>
    </row>
    <row r="222" spans="2:3">
      <c r="B222" s="379" t="str">
        <f>'Credores Quirografarios '!B85</f>
        <v xml:space="preserve">Cooper-Disc Dist. e Repres. Ltda </v>
      </c>
      <c r="C222" s="388">
        <f>'Credores Quirografarios '!G85</f>
        <v>95.140640000000005</v>
      </c>
    </row>
    <row r="223" spans="2:3">
      <c r="B223" s="379" t="str">
        <f>'Credores Quirografarios '!B86</f>
        <v>Copa Cia de Papeis</v>
      </c>
      <c r="C223" s="388">
        <f>'Credores Quirografarios '!G86</f>
        <v>107.01942909090909</v>
      </c>
    </row>
    <row r="224" spans="2:3">
      <c r="B224" s="379" t="str">
        <f>'Credores Quirografarios '!B87</f>
        <v xml:space="preserve">Copapel Com. Repres. de Papel Ltda </v>
      </c>
      <c r="C224" s="388">
        <f>'Credores Quirografarios '!G87</f>
        <v>0.95618545454545467</v>
      </c>
    </row>
    <row r="225" spans="2:3">
      <c r="B225" s="379" t="str">
        <f>'Credores Quirografarios '!B88</f>
        <v xml:space="preserve">Cordel Ind. Com. De Fumos Ltda </v>
      </c>
      <c r="C225" s="388">
        <f>'Credores Quirografarios '!G88</f>
        <v>19.123745454545457</v>
      </c>
    </row>
    <row r="226" spans="2:3">
      <c r="B226" s="379" t="str">
        <f>'Credores Quirografarios '!B89</f>
        <v xml:space="preserve">Corning Brasil-Vidros Espec. Ltda </v>
      </c>
      <c r="C226" s="388">
        <f>'Credores Quirografarios '!G89</f>
        <v>226.98416363636363</v>
      </c>
    </row>
    <row r="227" spans="2:3">
      <c r="B227" s="379" t="str">
        <f>'Credores Quirografarios '!B90</f>
        <v>Coroa S/A Ind. Alimentares</v>
      </c>
      <c r="C227" s="388">
        <f>'Credores Quirografarios '!G90</f>
        <v>208.77982909090909</v>
      </c>
    </row>
    <row r="228" spans="2:3">
      <c r="B228" s="379" t="str">
        <f>'Credores Quirografarios '!B91</f>
        <v>Costa S/S Sabonetes e Perfumes</v>
      </c>
      <c r="C228" s="388">
        <f>'Credores Quirografarios '!G91</f>
        <v>32.639087272727274</v>
      </c>
    </row>
    <row r="229" spans="2:3">
      <c r="B229" s="379" t="str">
        <f>'Credores Quirografarios '!B92</f>
        <v>Cravil-Coop Reg. Agrop. Alto Vale Itajai</v>
      </c>
      <c r="C229" s="388">
        <f>'Credores Quirografarios '!G92</f>
        <v>2874.0785018181818</v>
      </c>
    </row>
    <row r="230" spans="2:3">
      <c r="B230" s="379" t="str">
        <f>'Credores Quirografarios '!B93</f>
        <v>Cricket da Amazônia S/A</v>
      </c>
      <c r="C230" s="388">
        <f>'Credores Quirografarios '!G93</f>
        <v>137.80130545454546</v>
      </c>
    </row>
    <row r="231" spans="2:3">
      <c r="B231" s="379" t="str">
        <f>'Credores Quirografarios '!B94</f>
        <v>CVG CIA. Volta Grande de Papel</v>
      </c>
      <c r="C231" s="388">
        <f>'Credores Quirografarios '!G94</f>
        <v>57.444792727272727</v>
      </c>
    </row>
    <row r="232" spans="2:3">
      <c r="B232" s="379" t="str">
        <f>'Credores Quirografarios '!B95</f>
        <v xml:space="preserve">Deycon Com. Repr. Ltda </v>
      </c>
      <c r="C232" s="388">
        <f>'Credores Quirografarios '!G95</f>
        <v>208.54078181818181</v>
      </c>
    </row>
    <row r="233" spans="2:3">
      <c r="B233" s="379" t="str">
        <f>'Credores Quirografarios '!B96</f>
        <v xml:space="preserve">Digebel Distr. Geral de Bebidas Ltda </v>
      </c>
      <c r="C233" s="388">
        <f>'Credores Quirografarios '!G96</f>
        <v>399.53920363636365</v>
      </c>
    </row>
    <row r="234" spans="2:3">
      <c r="B234" s="379" t="str">
        <f>'Credores Quirografarios '!B97</f>
        <v>Dipam Distr. de Produtos  A. Monteiro Ltda</v>
      </c>
      <c r="C234" s="388">
        <f>'Credores Quirografarios '!G97</f>
        <v>700.66466545454546</v>
      </c>
    </row>
    <row r="235" spans="2:3">
      <c r="B235" s="379" t="str">
        <f>'Credores Quirografarios '!B98</f>
        <v>Disk-Med Dist. de Medicamentos Ltda</v>
      </c>
      <c r="C235" s="388">
        <f>'Credores Quirografarios '!G98</f>
        <v>127.98199636363636</v>
      </c>
    </row>
    <row r="236" spans="2:3">
      <c r="B236" s="379" t="str">
        <f>'Credores Quirografarios '!B99</f>
        <v>Distilaria Doble W. Exp. Imp. Ltda</v>
      </c>
      <c r="C236" s="388">
        <f>'Credores Quirografarios '!G99</f>
        <v>48.636836363636363</v>
      </c>
    </row>
    <row r="237" spans="2:3">
      <c r="B237" s="379" t="str">
        <f>'Credores Quirografarios '!B100</f>
        <v xml:space="preserve">Distr. de Cocos Nortesul Ltda </v>
      </c>
      <c r="C237" s="388">
        <f>'Credores Quirografarios '!G100</f>
        <v>29.053381818181819</v>
      </c>
    </row>
    <row r="238" spans="2:3">
      <c r="B238" s="379" t="str">
        <f>'Credores Quirografarios '!B101</f>
        <v>Distr. Muller Com. e Represe. Ltda</v>
      </c>
      <c r="C238" s="388">
        <f>'Credores Quirografarios '!G101</f>
        <v>3262.2170109090907</v>
      </c>
    </row>
    <row r="239" spans="2:3">
      <c r="B239" s="379" t="str">
        <f>'Credores Quirografarios '!B102</f>
        <v xml:space="preserve">Distr. Rb de Generos Aliment. Ltda </v>
      </c>
      <c r="C239" s="388">
        <f>'Credores Quirografarios '!G102</f>
        <v>80.558781818181814</v>
      </c>
    </row>
    <row r="240" spans="2:3">
      <c r="B240" s="379" t="str">
        <f>'Credores Quirografarios '!B103</f>
        <v xml:space="preserve">Distr. Santa Catarina Ltda </v>
      </c>
      <c r="C240" s="388">
        <f>'Credores Quirografarios '!G103</f>
        <v>59.081341818181819</v>
      </c>
    </row>
    <row r="241" spans="2:3">
      <c r="B241" s="379" t="str">
        <f>'Credores Quirografarios '!B104</f>
        <v xml:space="preserve">Distr. Sul de Bebidas Ltda </v>
      </c>
      <c r="C241" s="388">
        <f>'Credores Quirografarios '!G104</f>
        <v>41.189607272727272</v>
      </c>
    </row>
    <row r="242" spans="2:3">
      <c r="B242" s="379" t="str">
        <f>'Credores Quirografarios '!B105</f>
        <v>Distri. de Bebidas Joinville Ltda</v>
      </c>
      <c r="C242" s="388">
        <f>'Credores Quirografarios '!G105</f>
        <v>5948.3679199999997</v>
      </c>
    </row>
    <row r="243" spans="2:3">
      <c r="B243" s="379" t="str">
        <f>'Credores Quirografarios '!B106</f>
        <v xml:space="preserve">Dixie Ind. Com. Ltda </v>
      </c>
      <c r="C243" s="388">
        <f>'Credores Quirografarios '!G106</f>
        <v>24.033400000000004</v>
      </c>
    </row>
    <row r="244" spans="2:3">
      <c r="B244" s="379" t="str">
        <f>'Credores Quirografarios '!B107</f>
        <v>Dixie-Lakelka S/A</v>
      </c>
      <c r="C244" s="388">
        <f>'Credores Quirografarios '!G107</f>
        <v>89.973549090909088</v>
      </c>
    </row>
    <row r="245" spans="2:3">
      <c r="B245" s="379" t="str">
        <f>'Credores Quirografarios '!B108</f>
        <v>Dorval Friedrich e Filho Ltda</v>
      </c>
      <c r="C245" s="388">
        <f>'Credores Quirografarios '!G108</f>
        <v>857.20356363636358</v>
      </c>
    </row>
    <row r="246" spans="2:3">
      <c r="B246" s="379" t="str">
        <f>'Credores Quirografarios '!B109</f>
        <v xml:space="preserve">Dovale Repr. Comerciais Ltda </v>
      </c>
      <c r="C246" s="388">
        <f>'Credores Quirografarios '!G109</f>
        <v>415.00369454545449</v>
      </c>
    </row>
    <row r="247" spans="2:3">
      <c r="B247" s="379" t="str">
        <f>'Credores Quirografarios '!B110</f>
        <v>Dunga Produtos Alimentícios Ltda</v>
      </c>
      <c r="C247" s="388">
        <f>'Credores Quirografarios '!G110</f>
        <v>133.71912</v>
      </c>
    </row>
    <row r="248" spans="2:3">
      <c r="B248" s="379" t="str">
        <f>'Credores Quirografarios '!B111</f>
        <v xml:space="preserve">Edmag Com. e Repres. Ltda </v>
      </c>
      <c r="C248" s="388">
        <f>'Credores Quirografarios '!G111</f>
        <v>997.65277454545446</v>
      </c>
    </row>
    <row r="249" spans="2:3">
      <c r="B249" s="379" t="str">
        <f>'Credores Quirografarios '!B112</f>
        <v xml:space="preserve">Effen Produtos Alimentícios Ltda </v>
      </c>
      <c r="C249" s="388">
        <f>'Credores Quirografarios '!G112</f>
        <v>164.5929381818182</v>
      </c>
    </row>
    <row r="250" spans="2:3">
      <c r="B250" s="379" t="str">
        <f>'Credores Quirografarios '!B113</f>
        <v xml:space="preserve">Eldorado Indust. Plastica Ltda </v>
      </c>
      <c r="C250" s="388">
        <f>'Credores Quirografarios '!G113</f>
        <v>11.25358909090909</v>
      </c>
    </row>
    <row r="251" spans="2:3">
      <c r="B251" s="379" t="str">
        <f>'Credores Quirografarios '!B114</f>
        <v xml:space="preserve">Embafest Com. de Artigos P/ Festas Ltda </v>
      </c>
      <c r="C251" s="388">
        <f>'Credores Quirografarios '!G114</f>
        <v>614.0745454545455</v>
      </c>
    </row>
    <row r="252" spans="2:3">
      <c r="B252" s="379" t="str">
        <f>'Credores Quirografarios '!B115</f>
        <v>Emilio Romani S/A Ind. Com.</v>
      </c>
      <c r="C252" s="388">
        <f>'Credores Quirografarios '!G115</f>
        <v>4484.9231890909086</v>
      </c>
    </row>
    <row r="253" spans="2:3">
      <c r="B253" s="379" t="str">
        <f>'Credores Quirografarios '!B116</f>
        <v>Engepasa Engenharia Pavimento S/A</v>
      </c>
      <c r="C253" s="388">
        <f>'Credores Quirografarios '!G116</f>
        <v>112.59105818181817</v>
      </c>
    </row>
    <row r="254" spans="2:3">
      <c r="B254" s="379" t="str">
        <f>'Credores Quirografarios '!B117</f>
        <v>Ervin Zils</v>
      </c>
      <c r="C254" s="388">
        <f>'Credores Quirografarios '!G117</f>
        <v>46.981894545454544</v>
      </c>
    </row>
    <row r="255" spans="2:3">
      <c r="B255" s="379" t="str">
        <f>'Credores Quirografarios '!B118</f>
        <v>Espabra Generos Alimenticios Ltda</v>
      </c>
      <c r="C255" s="388">
        <f>'Credores Quirografarios '!G118</f>
        <v>96.538145454545457</v>
      </c>
    </row>
    <row r="256" spans="2:3">
      <c r="B256" s="379" t="str">
        <f>'Credores Quirografarios '!B119</f>
        <v xml:space="preserve">Extrafruta Ind. de Aliment. Ltda </v>
      </c>
      <c r="C256" s="388">
        <f>'Credores Quirografarios '!G119</f>
        <v>330.98792727272729</v>
      </c>
    </row>
    <row r="257" spans="2:3">
      <c r="B257" s="379" t="str">
        <f>'Credores Quirografarios '!B120</f>
        <v xml:space="preserve">Florida Com. e Imp. Ltda </v>
      </c>
      <c r="C257" s="388">
        <f>'Credores Quirografarios '!G120</f>
        <v>9.194109090909091</v>
      </c>
    </row>
    <row r="258" spans="2:3">
      <c r="B258" s="379" t="str">
        <f>'Credores Quirografarios '!B121</f>
        <v xml:space="preserve">Formularios Ltda </v>
      </c>
      <c r="C258" s="388">
        <f>'Credores Quirografarios '!G121</f>
        <v>72.817341818181816</v>
      </c>
    </row>
    <row r="259" spans="2:3">
      <c r="B259" s="379" t="str">
        <f>'Credores Quirografarios '!B122</f>
        <v>Frangos Camboriú Com. e Abate Ltda</v>
      </c>
      <c r="C259" s="388">
        <f>'Credores Quirografarios '!G122</f>
        <v>2256.9698981818183</v>
      </c>
    </row>
    <row r="260" spans="2:3">
      <c r="B260" s="379" t="str">
        <f>'Credores Quirografarios '!B123</f>
        <v>Franzner Alimentos Ltda</v>
      </c>
      <c r="C260" s="388">
        <f>'Credores Quirografarios '!G123</f>
        <v>494.20174909090912</v>
      </c>
    </row>
    <row r="261" spans="2:3">
      <c r="B261" s="379" t="str">
        <f>'Credores Quirografarios '!B124</f>
        <v xml:space="preserve">Freitag Import. e Export. Ltda </v>
      </c>
      <c r="C261" s="388">
        <f>'Credores Quirografarios '!G124</f>
        <v>152.65898545454547</v>
      </c>
    </row>
    <row r="262" spans="2:3">
      <c r="B262" s="379" t="str">
        <f>'Credores Quirografarios '!B125</f>
        <v>Frigorifico Cemim Ltda</v>
      </c>
      <c r="C262" s="388">
        <f>'Credores Quirografarios '!G125</f>
        <v>13306.634087272729</v>
      </c>
    </row>
    <row r="263" spans="2:3">
      <c r="B263" s="379" t="str">
        <f>'Credores Quirografarios '!B126</f>
        <v xml:space="preserve">Frigorifico Gumz S/A </v>
      </c>
      <c r="C263" s="388">
        <f>'Credores Quirografarios '!G126</f>
        <v>802.33312363636355</v>
      </c>
    </row>
    <row r="264" spans="2:3">
      <c r="B264" s="379" t="str">
        <f>'Credores Quirografarios '!B127</f>
        <v xml:space="preserve">Fritex Ind. Alimenticias Lisboense Ltda </v>
      </c>
      <c r="C264" s="388">
        <f>'Credores Quirografarios '!G127</f>
        <v>428.77646909090913</v>
      </c>
    </row>
    <row r="265" spans="2:3">
      <c r="B265" s="379" t="str">
        <f>'Credores Quirografarios '!B128</f>
        <v xml:space="preserve">Fruvil Com. de Frutas Ltda </v>
      </c>
      <c r="C265" s="388">
        <f>'Credores Quirografarios '!G128</f>
        <v>11.03293090909091</v>
      </c>
    </row>
    <row r="266" spans="2:3">
      <c r="B266" s="379" t="str">
        <f>'Credores Quirografarios '!B129</f>
        <v xml:space="preserve">Galpão Ind. Com. de Alimentos Ltda </v>
      </c>
      <c r="C266" s="388">
        <f>'Credores Quirografarios '!G129</f>
        <v>15.078338181818182</v>
      </c>
    </row>
    <row r="267" spans="2:3">
      <c r="B267" s="379" t="str">
        <f>'Credores Quirografarios '!B130</f>
        <v>Garpe Com. E Repr. Ltda</v>
      </c>
      <c r="C267" s="388">
        <f>'Credores Quirografarios '!G130</f>
        <v>442.49408</v>
      </c>
    </row>
    <row r="268" spans="2:3">
      <c r="B268" s="379" t="str">
        <f>'Credores Quirografarios '!B131</f>
        <v xml:space="preserve">Gessy Lever Alimentos Ltda </v>
      </c>
      <c r="C268" s="388">
        <f>'Credores Quirografarios '!G131</f>
        <v>90.506807272727272</v>
      </c>
    </row>
    <row r="269" spans="2:3">
      <c r="B269" s="379" t="str">
        <f>'Credores Quirografarios '!B132</f>
        <v>Gloria Distr. de Produtos Alimentos Ltda</v>
      </c>
      <c r="C269" s="388">
        <f>'Credores Quirografarios '!G132</f>
        <v>3714.6958945454548</v>
      </c>
    </row>
    <row r="270" spans="2:3">
      <c r="B270" s="379" t="str">
        <f>'Credores Quirografarios '!B133</f>
        <v>Gonzalez e Cia Ltda</v>
      </c>
      <c r="C270" s="388">
        <f>'Credores Quirografarios '!G133</f>
        <v>58.235483636363632</v>
      </c>
    </row>
    <row r="271" spans="2:3">
      <c r="B271" s="379" t="str">
        <f>'Credores Quirografarios '!B134</f>
        <v>Gráfica Mapel Ltda</v>
      </c>
      <c r="C271" s="388">
        <f>'Credores Quirografarios '!G134</f>
        <v>140.35726909090909</v>
      </c>
    </row>
    <row r="272" spans="2:3">
      <c r="B272" s="379" t="str">
        <f>'Credores Quirografarios '!B135</f>
        <v>Guilherme Schramm</v>
      </c>
      <c r="C272" s="388">
        <f>'Credores Quirografarios '!G135</f>
        <v>30.340559999999996</v>
      </c>
    </row>
    <row r="273" spans="2:3">
      <c r="B273" s="379" t="str">
        <f>'Credores Quirografarios '!B136</f>
        <v>Gumz irmãos S/A Ind. Com. Agricultura</v>
      </c>
      <c r="C273" s="388">
        <f>'Credores Quirografarios '!G136</f>
        <v>3586.566789090909</v>
      </c>
    </row>
    <row r="274" spans="2:3">
      <c r="B274" s="379" t="str">
        <f>'Credores Quirografarios '!B137</f>
        <v xml:space="preserve">HDS Sistemas Ltda </v>
      </c>
      <c r="C274" s="388">
        <f>'Credores Quirografarios '!G137</f>
        <v>10.536447272727273</v>
      </c>
    </row>
    <row r="275" spans="2:3">
      <c r="B275" s="379" t="str">
        <f>'Credores Quirografarios '!B138</f>
        <v xml:space="preserve">Heublein do Brasil Com. e Ind. Ltda </v>
      </c>
      <c r="C275" s="388">
        <f>'Credores Quirografarios '!G138</f>
        <v>482.35973818181822</v>
      </c>
    </row>
    <row r="276" spans="2:3">
      <c r="B276" s="379" t="str">
        <f>'Credores Quirografarios '!B139</f>
        <v xml:space="preserve">Hfur Com. e Repres. Ltda </v>
      </c>
      <c r="C276" s="388">
        <f>'Credores Quirografarios '!G139</f>
        <v>266.62916363636361</v>
      </c>
    </row>
    <row r="277" spans="2:3">
      <c r="B277" s="379" t="str">
        <f>'Credores Quirografarios '!B140</f>
        <v>Hortifrutigrangeiros Trans. Herchen</v>
      </c>
      <c r="C277" s="388">
        <f>'Credores Quirografarios '!G140</f>
        <v>12.871752727272726</v>
      </c>
    </row>
    <row r="278" spans="2:3">
      <c r="B278" s="379" t="str">
        <f>'Credores Quirografarios '!B141</f>
        <v>Hortigranjeira Aguas Claras Ltda</v>
      </c>
      <c r="C278" s="388">
        <f>'Credores Quirografarios '!G141</f>
        <v>125.22376363636363</v>
      </c>
    </row>
    <row r="279" spans="2:3">
      <c r="B279" s="379" t="str">
        <f>'Credores Quirografarios '!B142</f>
        <v>Hortigranjeira Bedin Ltda</v>
      </c>
      <c r="C279" s="388">
        <f>'Credores Quirografarios '!G142</f>
        <v>122.64941454545455</v>
      </c>
    </row>
    <row r="280" spans="2:3">
      <c r="B280" s="379" t="str">
        <f>'Credores Quirografarios '!B143</f>
        <v xml:space="preserve">Hortigranjeira Mantenense Ltda </v>
      </c>
      <c r="C280" s="388">
        <f>'Credores Quirografarios '!G143</f>
        <v>36.960316363636359</v>
      </c>
    </row>
    <row r="281" spans="2:3">
      <c r="B281" s="379" t="str">
        <f>'Credores Quirografarios '!B144</f>
        <v xml:space="preserve">Hp. Com. Import. Export. Alimen. Ltda </v>
      </c>
      <c r="C281" s="388">
        <f>'Credores Quirografarios '!G144</f>
        <v>36.684494545454548</v>
      </c>
    </row>
    <row r="282" spans="2:3">
      <c r="B282" s="379" t="str">
        <f>'Credores Quirografarios '!B145</f>
        <v>Iema Ind. Conservas</v>
      </c>
      <c r="C282" s="388">
        <f>'Credores Quirografarios '!G145</f>
        <v>210.25088363636365</v>
      </c>
    </row>
    <row r="283" spans="2:3">
      <c r="B283" s="379" t="str">
        <f>'Credores Quirografarios '!B146</f>
        <v>Impulso Equipamentos e Serviços Ltda</v>
      </c>
      <c r="C283" s="388">
        <f>'Credores Quirografarios '!G146</f>
        <v>883.4619418181818</v>
      </c>
    </row>
    <row r="284" spans="2:3">
      <c r="B284" s="379" t="str">
        <f>'Credores Quirografarios '!B147</f>
        <v>Incasa Ind. Com. Catarinense</v>
      </c>
      <c r="C284" s="388">
        <f>'Credores Quirografarios '!G147</f>
        <v>41.299934545454548</v>
      </c>
    </row>
    <row r="285" spans="2:3">
      <c r="B285" s="379" t="str">
        <f>'Credores Quirografarios '!B148</f>
        <v xml:space="preserve">Incopan Ind. Com. e Panificação Ltda </v>
      </c>
      <c r="C285" s="388">
        <f>'Credores Quirografarios '!G148</f>
        <v>1092.4992036363637</v>
      </c>
    </row>
    <row r="286" spans="2:3">
      <c r="B286" s="379" t="str">
        <f>'Credores Quirografarios '!B149</f>
        <v xml:space="preserve">Incregel Ind. Com. Repr. Gerais Ltda </v>
      </c>
      <c r="C286" s="388">
        <f>'Credores Quirografarios '!G149</f>
        <v>755.88448363636371</v>
      </c>
    </row>
    <row r="287" spans="2:3">
      <c r="B287" s="379" t="str">
        <f>'Credores Quirografarios '!B150</f>
        <v>Ind. Aliment. Carlos Britto S/A</v>
      </c>
      <c r="C287" s="388">
        <f>'Credores Quirografarios '!G150</f>
        <v>241.54763272727271</v>
      </c>
    </row>
    <row r="288" spans="2:3">
      <c r="B288" s="379" t="str">
        <f>'Credores Quirografarios '!B151</f>
        <v>Ind. Chocolates Lacta S/A</v>
      </c>
      <c r="C288" s="388">
        <f>'Credores Quirografarios '!G151</f>
        <v>1226.0712218181818</v>
      </c>
    </row>
    <row r="289" spans="2:3">
      <c r="B289" s="379" t="str">
        <f>'Credores Quirografarios '!B152</f>
        <v xml:space="preserve">Ind. Com. Agricola Mathies Ltda </v>
      </c>
      <c r="C289" s="388">
        <f>'Credores Quirografarios '!G152</f>
        <v>437.25344000000001</v>
      </c>
    </row>
    <row r="290" spans="2:3">
      <c r="B290" s="379" t="str">
        <f>'Credores Quirografarios '!B153</f>
        <v xml:space="preserve">Ind. Com. Bebidas dos Tropicos Ltda </v>
      </c>
      <c r="C290" s="388">
        <f>'Credores Quirografarios '!G153</f>
        <v>91.885923636363643</v>
      </c>
    </row>
    <row r="291" spans="2:3">
      <c r="B291" s="379" t="str">
        <f>'Credores Quirografarios '!B154</f>
        <v xml:space="preserve">Ind. Com. de Bebidas Kreusch Ltda </v>
      </c>
      <c r="C291" s="388">
        <f>'Credores Quirografarios '!G154</f>
        <v>36.776436363636364</v>
      </c>
    </row>
    <row r="292" spans="2:3">
      <c r="B292" s="379" t="str">
        <f>'Credores Quirografarios '!B155</f>
        <v xml:space="preserve">Ind. Com. de Doces Carijos Ltda </v>
      </c>
      <c r="C292" s="388">
        <f>'Credores Quirografarios '!G155</f>
        <v>179.46900727272728</v>
      </c>
    </row>
    <row r="293" spans="2:3">
      <c r="B293" s="379" t="str">
        <f>'Credores Quirografarios '!B156</f>
        <v xml:space="preserve">Ind. Com. De Latici. Passold Ltda </v>
      </c>
      <c r="C293" s="388">
        <f>'Credores Quirografarios '!G156</f>
        <v>25.155080000000002</v>
      </c>
    </row>
    <row r="294" spans="2:3">
      <c r="B294" s="379" t="str">
        <f>'Credores Quirografarios '!B157</f>
        <v>Ind. Com. de Laticínios Chapeco Ltda</v>
      </c>
      <c r="C294" s="388">
        <f>'Credores Quirografarios '!G157</f>
        <v>3375.2861636363632</v>
      </c>
    </row>
    <row r="295" spans="2:3">
      <c r="B295" s="379" t="str">
        <f>'Credores Quirografarios '!B158</f>
        <v>Ind. Com. Polvilho Sevegnani Ltda</v>
      </c>
      <c r="C295" s="388">
        <f>'Credores Quirografarios '!G158</f>
        <v>104.79445454545454</v>
      </c>
    </row>
    <row r="296" spans="2:3">
      <c r="B296" s="379" t="str">
        <f>'Credores Quirografarios '!B159</f>
        <v xml:space="preserve">Ind. de Alimentos Massita Ltda </v>
      </c>
      <c r="C296" s="388">
        <f>'Credores Quirografarios '!G159</f>
        <v>619.83005818181812</v>
      </c>
    </row>
    <row r="297" spans="2:3">
      <c r="B297" s="379" t="str">
        <f>'Credores Quirografarios '!B160</f>
        <v xml:space="preserve">Ind. de Alimentos Massita Ltda </v>
      </c>
      <c r="C297" s="388">
        <f>'Credores Quirografarios '!G160</f>
        <v>14.54508</v>
      </c>
    </row>
    <row r="298" spans="2:3">
      <c r="B298" s="379" t="str">
        <f>'Credores Quirografarios '!B161</f>
        <v xml:space="preserve">Ind. de Bebidas Cardoso Ltda </v>
      </c>
      <c r="C298" s="388">
        <f>'Credores Quirografarios '!G161</f>
        <v>319.55045454545456</v>
      </c>
    </row>
    <row r="299" spans="2:3">
      <c r="B299" s="379" t="str">
        <f>'Credores Quirografarios '!B162</f>
        <v xml:space="preserve">Ind. de Embalagens Lages Ltda </v>
      </c>
      <c r="C299" s="388">
        <f>'Credores Quirografarios '!G162</f>
        <v>403.19845818181818</v>
      </c>
    </row>
    <row r="300" spans="2:3">
      <c r="B300" s="379" t="str">
        <f>'Credores Quirografarios '!B163</f>
        <v xml:space="preserve">Ind. Gessy Lever Ltda </v>
      </c>
      <c r="C300" s="388">
        <f>'Credores Quirografarios '!G163</f>
        <v>34.128530909090912</v>
      </c>
    </row>
    <row r="301" spans="2:3">
      <c r="B301" s="379" t="str">
        <f>'Credores Quirografarios '!B164</f>
        <v>Ind. Produtos Alimenticios Cory Ltda</v>
      </c>
      <c r="C301" s="388">
        <f>'Credores Quirografarios '!G164</f>
        <v>1847.5929963636365</v>
      </c>
    </row>
    <row r="302" spans="2:3">
      <c r="B302" s="379" t="str">
        <f>'Credores Quirografarios '!B165</f>
        <v>Industria de Doces Mario Nass ME.</v>
      </c>
      <c r="C302" s="388">
        <f>'Credores Quirografarios '!G165</f>
        <v>12.228163636363636</v>
      </c>
    </row>
    <row r="303" spans="2:3">
      <c r="B303" s="379" t="str">
        <f>'Credores Quirografarios '!B166</f>
        <v>Ingo Bittencourt</v>
      </c>
      <c r="C303" s="388">
        <f>'Credores Quirografarios '!G166</f>
        <v>26.589360000000003</v>
      </c>
    </row>
    <row r="304" spans="2:3">
      <c r="B304" s="379" t="str">
        <f>'Credores Quirografarios '!B167</f>
        <v xml:space="preserve">IOB Inf. Objet. Publ. Juridicas Ltda </v>
      </c>
      <c r="C304" s="388">
        <f>'Credores Quirografarios '!G167</f>
        <v>17.597523636363636</v>
      </c>
    </row>
    <row r="305" spans="2:3">
      <c r="B305" s="379" t="str">
        <f>'Credores Quirografarios '!B168</f>
        <v xml:space="preserve">Irmaos Braziliano Ltda </v>
      </c>
      <c r="C305" s="388">
        <f>'Credores Quirografarios '!G168</f>
        <v>40.086312727272727</v>
      </c>
    </row>
    <row r="306" spans="2:3">
      <c r="B306" s="379" t="str">
        <f>'Credores Quirografarios '!B169</f>
        <v xml:space="preserve">Irmãos Carboni Ltda </v>
      </c>
      <c r="C306" s="388">
        <f>'Credores Quirografarios '!G169</f>
        <v>18.388218181818182</v>
      </c>
    </row>
    <row r="307" spans="2:3">
      <c r="B307" s="379" t="str">
        <f>'Credores Quirografarios '!B170</f>
        <v xml:space="preserve">Irmaos Molon Ltda </v>
      </c>
      <c r="C307" s="388">
        <f>'Credores Quirografarios '!G170</f>
        <v>43.561687272727269</v>
      </c>
    </row>
    <row r="308" spans="2:3">
      <c r="B308" s="379" t="str">
        <f>'Credores Quirografarios '!B171</f>
        <v>Isabela S/A Prod. Alimentícios</v>
      </c>
      <c r="C308" s="388">
        <f>'Credores Quirografarios '!G171</f>
        <v>350.01973090909092</v>
      </c>
    </row>
    <row r="309" spans="2:3">
      <c r="B309" s="379" t="str">
        <f>'Credores Quirografarios '!B172</f>
        <v xml:space="preserve">Jasicafe Ind. Com. Café Ltda </v>
      </c>
      <c r="C309" s="388">
        <f>'Credores Quirografarios '!G172</f>
        <v>252.83836363636362</v>
      </c>
    </row>
    <row r="310" spans="2:3">
      <c r="B310" s="379" t="str">
        <f>'Credores Quirografarios '!B173</f>
        <v xml:space="preserve">João Haupt e Cia Ltda </v>
      </c>
      <c r="C310" s="388">
        <f>'Credores Quirografarios '!G173</f>
        <v>151.75796363636366</v>
      </c>
    </row>
    <row r="311" spans="2:3">
      <c r="B311" s="379" t="str">
        <f>'Credores Quirografarios '!B174</f>
        <v xml:space="preserve">Johmar Com. Repr. Ltda </v>
      </c>
      <c r="C311" s="388">
        <f>'Credores Quirografarios '!G174</f>
        <v>247.24797818181816</v>
      </c>
    </row>
    <row r="312" spans="2:3">
      <c r="B312" s="379" t="str">
        <f>'Credores Quirografarios '!B175</f>
        <v>Johnson e Johnson S/A</v>
      </c>
      <c r="C312" s="388">
        <f>'Credores Quirografarios '!G175</f>
        <v>1258.0483345454545</v>
      </c>
    </row>
    <row r="313" spans="2:3">
      <c r="B313" s="379" t="str">
        <f>'Credores Quirografarios '!B176</f>
        <v>Johnson e Johnson S/A</v>
      </c>
      <c r="C313" s="388">
        <f>'Credores Quirografarios '!G176</f>
        <v>408.12650181818179</v>
      </c>
    </row>
    <row r="314" spans="2:3">
      <c r="B314" s="379" t="str">
        <f>'Credores Quirografarios '!B177</f>
        <v>Jorgina Madrid Chaves</v>
      </c>
      <c r="C314" s="388">
        <f>'Credores Quirografarios '!G177</f>
        <v>50.530821818181821</v>
      </c>
    </row>
    <row r="315" spans="2:3">
      <c r="B315" s="379" t="str">
        <f>'Credores Quirografarios '!B178</f>
        <v>Jose Kienen</v>
      </c>
      <c r="C315" s="388">
        <f>'Credores Quirografarios '!G178</f>
        <v>150.67305818181816</v>
      </c>
    </row>
    <row r="316" spans="2:3">
      <c r="B316" s="379" t="str">
        <f>'Credores Quirografarios '!B179</f>
        <v>Jose Lindolfo dos Passos</v>
      </c>
      <c r="C316" s="388">
        <f>'Credores Quirografarios '!G179</f>
        <v>79.823254545454546</v>
      </c>
    </row>
    <row r="317" spans="2:3">
      <c r="B317" s="379" t="str">
        <f>'Credores Quirografarios '!B180</f>
        <v xml:space="preserve">Kaminski Distr. Universal Ltda </v>
      </c>
      <c r="C317" s="388">
        <f>'Credores Quirografarios '!G180</f>
        <v>541.68013090909096</v>
      </c>
    </row>
    <row r="318" spans="2:3">
      <c r="B318" s="379" t="str">
        <f>'Credores Quirografarios '!B181</f>
        <v xml:space="preserve">KC do Brasil Ltda </v>
      </c>
      <c r="C318" s="388">
        <f>'Credores Quirografarios '!G181</f>
        <v>528.44061090909088</v>
      </c>
    </row>
    <row r="319" spans="2:3">
      <c r="B319" s="379" t="str">
        <f>'Credores Quirografarios '!B182</f>
        <v xml:space="preserve">Klimaco Mat. Farm e Hosp. Ltda </v>
      </c>
      <c r="C319" s="388">
        <f>'Credores Quirografarios '!G182</f>
        <v>18.149170909090909</v>
      </c>
    </row>
    <row r="320" spans="2:3">
      <c r="B320" s="379" t="str">
        <f>'Credores Quirografarios '!B183</f>
        <v xml:space="preserve">La Violeterea Ind. Com. Generos Alim. Ltda </v>
      </c>
      <c r="C320" s="388">
        <f>'Credores Quirografarios '!G183</f>
        <v>537.37728727272724</v>
      </c>
    </row>
    <row r="321" spans="2:3">
      <c r="B321" s="379" t="str">
        <f>'Credores Quirografarios '!B184</f>
        <v>Lacesa S/S Ind. de Alimentos</v>
      </c>
      <c r="C321" s="388">
        <f>'Credores Quirografarios '!G184</f>
        <v>4930.3410000000003</v>
      </c>
    </row>
    <row r="322" spans="2:3">
      <c r="B322" s="379" t="str">
        <f>'Credores Quirografarios '!B185</f>
        <v>Laticinio Globo Ltda</v>
      </c>
      <c r="C322" s="388">
        <f>'Credores Quirografarios '!G185</f>
        <v>1602.4412727272727</v>
      </c>
    </row>
    <row r="323" spans="2:3">
      <c r="B323" s="379" t="str">
        <f>'Credores Quirografarios '!B186</f>
        <v>Laticinios Lacador Ltda</v>
      </c>
      <c r="C323" s="388">
        <f>'Credores Quirografarios '!G186</f>
        <v>1515.483389090909</v>
      </c>
    </row>
    <row r="324" spans="2:3">
      <c r="B324" s="379" t="str">
        <f>'Credores Quirografarios '!B187</f>
        <v>Laticinios Tirol Ltda</v>
      </c>
      <c r="C324" s="388">
        <f>'Credores Quirografarios '!G187</f>
        <v>2085.1320000000001</v>
      </c>
    </row>
    <row r="325" spans="2:3">
      <c r="B325" s="379" t="str">
        <f>'Credores Quirografarios '!B188</f>
        <v>Lensana S/A</v>
      </c>
      <c r="C325" s="388">
        <f>'Credores Quirografarios '!G188</f>
        <v>140.19177454545454</v>
      </c>
    </row>
    <row r="326" spans="2:3">
      <c r="B326" s="379" t="str">
        <f>'Credores Quirografarios '!B189</f>
        <v xml:space="preserve">Librizzi e Cia Ltda </v>
      </c>
      <c r="C326" s="388">
        <f>'Credores Quirografarios '!G189</f>
        <v>93.614418181818181</v>
      </c>
    </row>
    <row r="327" spans="2:3">
      <c r="B327" s="379" t="str">
        <f>'Credores Quirografarios '!B190</f>
        <v xml:space="preserve">Lider Com. Prod. Alimenticios Ltda </v>
      </c>
      <c r="C327" s="388">
        <f>'Credores Quirografarios '!G190</f>
        <v>23.904683636363639</v>
      </c>
    </row>
    <row r="328" spans="2:3">
      <c r="B328" s="379" t="str">
        <f>'Credores Quirografarios '!B191</f>
        <v>LPC Ind. Alimenticias S/A</v>
      </c>
      <c r="C328" s="388">
        <f>'Credores Quirografarios '!G191</f>
        <v>698.88100727272729</v>
      </c>
    </row>
    <row r="329" spans="2:3">
      <c r="B329" s="379" t="str">
        <f>'Credores Quirografarios '!B192</f>
        <v>Luiz Kienen Bebidas Ltda</v>
      </c>
      <c r="C329" s="388">
        <f>'Credores Quirografarios '!G192</f>
        <v>121.25190909090909</v>
      </c>
    </row>
    <row r="330" spans="2:3">
      <c r="B330" s="379" t="str">
        <f>'Credores Quirografarios '!B193</f>
        <v xml:space="preserve">Lukisa Distr. de Bebidas Ltda </v>
      </c>
      <c r="C330" s="388">
        <f>'Credores Quirografarios '!G193</f>
        <v>45.823436363636361</v>
      </c>
    </row>
    <row r="331" spans="2:3">
      <c r="B331" s="379" t="str">
        <f>'Credores Quirografarios '!B194</f>
        <v xml:space="preserve">Luminar Com. Ind. Ltda </v>
      </c>
      <c r="C331" s="388">
        <f>'Credores Quirografarios '!G194</f>
        <v>438.08090909090907</v>
      </c>
    </row>
    <row r="332" spans="2:3">
      <c r="B332" s="379" t="str">
        <f>'Credores Quirografarios '!B195</f>
        <v xml:space="preserve">Lunardon e Cia Ltda </v>
      </c>
      <c r="C332" s="388">
        <f>'Credores Quirografarios '!G195</f>
        <v>365.88876363636365</v>
      </c>
    </row>
    <row r="333" spans="2:3">
      <c r="B333" s="379" t="str">
        <f>'Credores Quirografarios '!B196</f>
        <v xml:space="preserve">Mabispa Alimentos Ltda </v>
      </c>
      <c r="C333" s="388">
        <f>'Credores Quirografarios '!G196</f>
        <v>60.313352727272729</v>
      </c>
    </row>
    <row r="334" spans="2:3">
      <c r="B334" s="379" t="str">
        <f>'Credores Quirografarios '!B197</f>
        <v xml:space="preserve">Maison Forestier Emp. Vinhos Ltda </v>
      </c>
      <c r="C334" s="388">
        <f>'Credores Quirografarios '!G197</f>
        <v>30.101512727272727</v>
      </c>
    </row>
    <row r="335" spans="2:3">
      <c r="B335" s="379" t="str">
        <f>'Credores Quirografarios '!B198</f>
        <v>Manoel F. da Costa S/A</v>
      </c>
      <c r="C335" s="388">
        <f>'Credores Quirografarios '!G198</f>
        <v>113.38175272727273</v>
      </c>
    </row>
    <row r="336" spans="2:3">
      <c r="B336" s="379" t="str">
        <f>'Credores Quirografarios '!B199</f>
        <v xml:space="preserve">Manoel P. Almeida S.A Ind e Com. </v>
      </c>
      <c r="C336" s="388">
        <f>'Credores Quirografarios '!G199</f>
        <v>50.14466909090909</v>
      </c>
    </row>
    <row r="337" spans="2:3">
      <c r="B337" s="379" t="str">
        <f>'Credores Quirografarios '!B200</f>
        <v xml:space="preserve">Manoela Ind. de Massas Ltda </v>
      </c>
      <c r="C337" s="388">
        <f>'Credores Quirografarios '!G200</f>
        <v>307.50617090909088</v>
      </c>
    </row>
    <row r="338" spans="2:3">
      <c r="B338" s="379" t="str">
        <f>'Credores Quirografarios '!B201</f>
        <v>Marajo Ind. Benf. Pedras Mat. Cons. Ltda</v>
      </c>
      <c r="C338" s="388">
        <f>'Credores Quirografarios '!G201</f>
        <v>18.44338181818182</v>
      </c>
    </row>
    <row r="339" spans="2:3">
      <c r="B339" s="379" t="str">
        <f>'Credores Quirografarios '!B202</f>
        <v>Marcenaria Ravache Ltda</v>
      </c>
      <c r="C339" s="388">
        <f>'Credores Quirografarios '!G202</f>
        <v>3.4753709090909091</v>
      </c>
    </row>
    <row r="340" spans="2:3">
      <c r="B340" s="379" t="str">
        <f>'Credores Quirografarios '!B203</f>
        <v xml:space="preserve">Mark Alimentos Ltda </v>
      </c>
      <c r="C340" s="388">
        <f>'Credores Quirografarios '!G203</f>
        <v>219.86792363636366</v>
      </c>
    </row>
    <row r="341" spans="2:3">
      <c r="B341" s="379" t="str">
        <f>'Credores Quirografarios '!B204</f>
        <v xml:space="preserve">Martini e Rossi Ltda </v>
      </c>
      <c r="C341" s="388">
        <f>'Credores Quirografarios '!G204</f>
        <v>86.406236363636367</v>
      </c>
    </row>
    <row r="342" spans="2:3">
      <c r="B342" s="379" t="str">
        <f>'Credores Quirografarios '!B205</f>
        <v xml:space="preserve">MCI Informática Ltda </v>
      </c>
      <c r="C342" s="388">
        <f>'Credores Quirografarios '!G205</f>
        <v>250.37397818181816</v>
      </c>
    </row>
    <row r="343" spans="2:3">
      <c r="B343" s="379" t="str">
        <f>'Credores Quirografarios '!B206</f>
        <v xml:space="preserve">Mecanica de Automoveis Anita Ltda </v>
      </c>
      <c r="C343" s="388">
        <f>'Credores Quirografarios '!G206</f>
        <v>12.503985454545454</v>
      </c>
    </row>
    <row r="344" spans="2:3">
      <c r="B344" s="379" t="str">
        <f>'Credores Quirografarios '!B207</f>
        <v xml:space="preserve">Melitta do Brasil Ind. Com. Ltda </v>
      </c>
      <c r="C344" s="388">
        <f>'Credores Quirografarios '!G207</f>
        <v>226.1934690909091</v>
      </c>
    </row>
    <row r="345" spans="2:3">
      <c r="B345" s="379" t="str">
        <f>'Credores Quirografarios '!B208</f>
        <v>Metalgrafica Trivisan S/A</v>
      </c>
      <c r="C345" s="388">
        <f>'Credores Quirografarios '!G208</f>
        <v>86.203963636363639</v>
      </c>
    </row>
    <row r="346" spans="2:3">
      <c r="B346" s="379" t="str">
        <f>'Credores Quirografarios '!B209</f>
        <v>Metalurgica Backer Ind. Com. Ltda</v>
      </c>
      <c r="C346" s="388">
        <f>'Credores Quirografarios '!G209</f>
        <v>93.908629090909088</v>
      </c>
    </row>
    <row r="347" spans="2:3">
      <c r="B347" s="379" t="str">
        <f>'Credores Quirografarios '!B210</f>
        <v xml:space="preserve">Metalurgica Caliano Ltda </v>
      </c>
      <c r="C347" s="388">
        <f>'Credores Quirografarios '!G210</f>
        <v>46.522189090909094</v>
      </c>
    </row>
    <row r="348" spans="2:3">
      <c r="B348" s="379" t="str">
        <f>'Credores Quirografarios '!B211</f>
        <v xml:space="preserve">Microlite do Norte Ind. Com. Ltda </v>
      </c>
      <c r="C348" s="388">
        <f>'Credores Quirografarios '!G211</f>
        <v>26.71808</v>
      </c>
    </row>
    <row r="349" spans="2:3">
      <c r="B349" s="379" t="str">
        <f>'Credores Quirografarios '!B212</f>
        <v>Milton Jose Borguetti e Cia Ltda</v>
      </c>
      <c r="C349" s="388">
        <f>'Credores Quirografarios '!G212</f>
        <v>1743.5708472727274</v>
      </c>
    </row>
    <row r="350" spans="2:3">
      <c r="B350" s="379" t="str">
        <f>'Credores Quirografarios '!B213</f>
        <v xml:space="preserve">Moinho Carlos Guth Ltda </v>
      </c>
      <c r="C350" s="388">
        <f>'Credores Quirografarios '!G213</f>
        <v>170.01746181818183</v>
      </c>
    </row>
    <row r="351" spans="2:3">
      <c r="B351" s="379" t="str">
        <f>'Credores Quirografarios '!B214</f>
        <v>Moinhos Unidos do Brasil Mate S/A</v>
      </c>
      <c r="C351" s="388">
        <f>'Credores Quirografarios '!G214</f>
        <v>96.354261818181811</v>
      </c>
    </row>
    <row r="352" spans="2:3">
      <c r="B352" s="379" t="str">
        <f>'Credores Quirografarios '!B215</f>
        <v xml:space="preserve">Multibom Distr. de Prod. Aliment. Ltda </v>
      </c>
      <c r="C352" s="388">
        <f>'Credores Quirografarios '!G215</f>
        <v>780.87407272727285</v>
      </c>
    </row>
    <row r="353" spans="2:3">
      <c r="B353" s="379" t="str">
        <f>'Credores Quirografarios '!B216</f>
        <v>Multividro Ind. Com. S/A</v>
      </c>
      <c r="C353" s="388">
        <f>'Credores Quirografarios '!G216</f>
        <v>97.770152727272716</v>
      </c>
    </row>
    <row r="354" spans="2:3">
      <c r="B354" s="379" t="str">
        <f>'Credores Quirografarios '!B217</f>
        <v>Nestle Ind. Com. Ltda</v>
      </c>
      <c r="C354" s="388">
        <f>'Credores Quirografarios '!G217</f>
        <v>1213.49368</v>
      </c>
    </row>
    <row r="355" spans="2:3">
      <c r="B355" s="379" t="str">
        <f>'Credores Quirografarios '!B218</f>
        <v xml:space="preserve">Niposul Com. e Repr. De Prod. Alim. Ltda </v>
      </c>
      <c r="C355" s="388">
        <f>'Credores Quirografarios '!G218</f>
        <v>417.92742181818181</v>
      </c>
    </row>
    <row r="356" spans="2:3">
      <c r="B356" s="379" t="str">
        <f>'Credores Quirografarios '!B219</f>
        <v xml:space="preserve">Norte Alimentos Ltda </v>
      </c>
      <c r="C356" s="388">
        <f>'Credores Quirografarios '!G219</f>
        <v>424.17941454545451</v>
      </c>
    </row>
    <row r="357" spans="2:3">
      <c r="B357" s="379" t="str">
        <f>'Credores Quirografarios '!B220</f>
        <v xml:space="preserve">Nova Filozam Com. Imp. Exp. Ltda </v>
      </c>
      <c r="C357" s="388">
        <f>'Credores Quirografarios '!G220</f>
        <v>79.161276363636361</v>
      </c>
    </row>
    <row r="358" spans="2:3">
      <c r="B358" s="379" t="str">
        <f>'Credores Quirografarios '!B221</f>
        <v>Olvebra Ind. S/A</v>
      </c>
      <c r="C358" s="388">
        <f>'Credores Quirografarios '!G221</f>
        <v>448.63574545454549</v>
      </c>
    </row>
    <row r="359" spans="2:3">
      <c r="B359" s="379" t="str">
        <f>'Credores Quirografarios '!B222</f>
        <v>Orniex S/A</v>
      </c>
      <c r="C359" s="388">
        <f>'Credores Quirografarios '!G222</f>
        <v>777.08609818181822</v>
      </c>
    </row>
    <row r="360" spans="2:3">
      <c r="B360" s="379" t="str">
        <f>'Credores Quirografarios '!B223</f>
        <v>Osati Representações Com. Ltda</v>
      </c>
      <c r="C360" s="388">
        <f>'Credores Quirografarios '!G223</f>
        <v>118.80627636363637</v>
      </c>
    </row>
    <row r="361" spans="2:3">
      <c r="B361" s="379" t="str">
        <f>'Credores Quirografarios '!B224</f>
        <v>Otel Organiza. Tec. E Comercial S/A</v>
      </c>
      <c r="C361" s="388">
        <f>'Credores Quirografarios '!G224</f>
        <v>7.484003636363636</v>
      </c>
    </row>
    <row r="362" spans="2:3">
      <c r="B362" s="379" t="str">
        <f>'Credores Quirografarios '!B225</f>
        <v>Pamal Com. de Alimentos Ltda</v>
      </c>
      <c r="C362" s="388">
        <f>'Credores Quirografarios '!G225</f>
        <v>3701.107</v>
      </c>
    </row>
    <row r="363" spans="2:3">
      <c r="B363" s="379" t="str">
        <f>'Credores Quirografarios '!B226</f>
        <v>Pamplona Frigorifico Riosulense S/A</v>
      </c>
      <c r="C363" s="388">
        <f>'Credores Quirografarios '!G226</f>
        <v>678.96656727272727</v>
      </c>
    </row>
    <row r="364" spans="2:3">
      <c r="B364" s="379" t="str">
        <f>'Credores Quirografarios '!B227</f>
        <v>Pamplona Frigorifico Riosulense S/A</v>
      </c>
      <c r="C364" s="388">
        <f>'Credores Quirografarios '!G227</f>
        <v>458.47344363636364</v>
      </c>
    </row>
    <row r="365" spans="2:3">
      <c r="B365" s="379" t="str">
        <f>'Credores Quirografarios '!B228</f>
        <v xml:space="preserve">Panex S/A Ind. Com. </v>
      </c>
      <c r="C365" s="388">
        <f>'Credores Quirografarios '!G228</f>
        <v>385.63770909090908</v>
      </c>
    </row>
    <row r="366" spans="2:3">
      <c r="B366" s="379" t="str">
        <f>'Credores Quirografarios '!B229</f>
        <v xml:space="preserve">Papelaria Cruzeiro Ltda </v>
      </c>
      <c r="C366" s="388">
        <f>'Credores Quirografarios '!G229</f>
        <v>19.123745454545457</v>
      </c>
    </row>
    <row r="367" spans="2:3">
      <c r="B367" s="379" t="str">
        <f>'Credores Quirografarios '!B230</f>
        <v>Pasbona-Cia Canoinhas de Papel</v>
      </c>
      <c r="C367" s="388">
        <f>'Credores Quirografarios '!G230</f>
        <v>81.312698181818192</v>
      </c>
    </row>
    <row r="368" spans="2:3">
      <c r="B368" s="379" t="str">
        <f>'Credores Quirografarios '!B231</f>
        <v>Pastificio Fio de Ouro Ltda</v>
      </c>
      <c r="C368" s="388">
        <f>'Credores Quirografarios '!G231</f>
        <v>101.09842181818181</v>
      </c>
    </row>
    <row r="369" spans="2:3">
      <c r="B369" s="379" t="str">
        <f>'Credores Quirografarios '!B232</f>
        <v>Paz e Iazzetti Cia Ltda</v>
      </c>
      <c r="C369" s="388">
        <f>'Credores Quirografarios '!G232</f>
        <v>52.428240000000002</v>
      </c>
    </row>
    <row r="370" spans="2:3">
      <c r="B370" s="379" t="str">
        <f>'Credores Quirografarios '!B233</f>
        <v>Pedro Custodio dos Santos</v>
      </c>
      <c r="C370" s="388">
        <f>'Credores Quirografarios '!G233</f>
        <v>147.65738909090911</v>
      </c>
    </row>
    <row r="371" spans="2:3">
      <c r="B371" s="379" t="str">
        <f>'Credores Quirografarios '!B234</f>
        <v xml:space="preserve">Pelforte Com. e Ind. de Papeis Ltda </v>
      </c>
      <c r="C371" s="388">
        <f>'Credores Quirografarios '!G234</f>
        <v>1179.4570872727274</v>
      </c>
    </row>
    <row r="372" spans="2:3">
      <c r="B372" s="379" t="str">
        <f>'Credores Quirografarios '!B235</f>
        <v>Pepsico e Cia</v>
      </c>
      <c r="C372" s="388">
        <f>'Credores Quirografarios '!G235</f>
        <v>2896.2730799999999</v>
      </c>
    </row>
    <row r="373" spans="2:3">
      <c r="B373" s="379" t="str">
        <f>'Credores Quirografarios '!B236</f>
        <v>Petybon S/A</v>
      </c>
      <c r="C373" s="388">
        <f>'Credores Quirografarios '!G236</f>
        <v>450.14357818181821</v>
      </c>
    </row>
    <row r="374" spans="2:3">
      <c r="B374" s="379" t="str">
        <f>'Credores Quirografarios '!B237</f>
        <v>Plasticom Plasticos Ind. e Com. Ltda</v>
      </c>
      <c r="C374" s="388">
        <f>'Credores Quirografarios '!G237</f>
        <v>782.69450545454549</v>
      </c>
    </row>
    <row r="375" spans="2:3">
      <c r="B375" s="379" t="str">
        <f>'Credores Quirografarios '!B238</f>
        <v xml:space="preserve">Plásticos Suzuki Ltda </v>
      </c>
      <c r="C375" s="388">
        <f>'Credores Quirografarios '!G238</f>
        <v>281.45006545454549</v>
      </c>
    </row>
    <row r="376" spans="2:3">
      <c r="B376" s="379" t="str">
        <f>'Credores Quirografarios '!B239</f>
        <v>Plasvale Ind. Plast. do Vale Ltda</v>
      </c>
      <c r="C376" s="388">
        <f>'Credores Quirografarios '!G239</f>
        <v>195.19093454545452</v>
      </c>
    </row>
    <row r="377" spans="2:3">
      <c r="B377" s="379" t="str">
        <f>'Credores Quirografarios '!B240</f>
        <v>Popasa Potinga Papeis S/A</v>
      </c>
      <c r="C377" s="388">
        <f>'Credores Quirografarios '!G240</f>
        <v>240.64661090909092</v>
      </c>
    </row>
    <row r="378" spans="2:3">
      <c r="B378" s="379" t="str">
        <f>'Credores Quirografarios '!B241</f>
        <v>Pratel De L. D. da Costa</v>
      </c>
      <c r="C378" s="388">
        <f>'Credores Quirografarios '!G241</f>
        <v>50.585985454545451</v>
      </c>
    </row>
    <row r="379" spans="2:3">
      <c r="B379" s="379" t="str">
        <f>'Credores Quirografarios '!B242</f>
        <v>Pro Higiene Trambrands S/A</v>
      </c>
      <c r="C379" s="388">
        <f>'Credores Quirografarios '!G242</f>
        <v>36.077683636363638</v>
      </c>
    </row>
    <row r="380" spans="2:3">
      <c r="B380" s="379" t="str">
        <f>'Credores Quirografarios '!B243</f>
        <v xml:space="preserve">Prod. Aliment. Fleischmann e Royal Ltda </v>
      </c>
      <c r="C380" s="388">
        <f>'Credores Quirografarios '!G243</f>
        <v>683.74750181818183</v>
      </c>
    </row>
    <row r="381" spans="2:3">
      <c r="B381" s="379" t="str">
        <f>'Credores Quirografarios '!B244</f>
        <v xml:space="preserve">Prod. Aliment. Fleischmann e Royal Ltda </v>
      </c>
      <c r="C381" s="388">
        <f>'Credores Quirografarios '!G244</f>
        <v>586.32672363636368</v>
      </c>
    </row>
    <row r="382" spans="2:3">
      <c r="B382" s="379" t="str">
        <f>'Credores Quirografarios '!B245</f>
        <v xml:space="preserve">Prod. Alimentares Jr. Ltda </v>
      </c>
      <c r="C382" s="388">
        <f>'Credores Quirografarios '!G245</f>
        <v>250.04298909090909</v>
      </c>
    </row>
    <row r="383" spans="2:3">
      <c r="B383" s="379" t="str">
        <f>'Credores Quirografarios '!B246</f>
        <v xml:space="preserve">Prodalin Com. Repr. Ltda </v>
      </c>
      <c r="C383" s="388">
        <f>'Credores Quirografarios '!G246</f>
        <v>332.25671272727271</v>
      </c>
    </row>
    <row r="384" spans="2:3">
      <c r="B384" s="379" t="str">
        <f>'Credores Quirografarios '!B247</f>
        <v xml:space="preserve">Quaker Alimentos Ltda </v>
      </c>
      <c r="C384" s="388">
        <f>'Credores Quirografarios '!G247</f>
        <v>150.26529454545454</v>
      </c>
    </row>
    <row r="385" spans="2:3">
      <c r="B385" s="379" t="str">
        <f>'Credores Quirografarios '!B248</f>
        <v xml:space="preserve">Quimica Catarinense Ltda </v>
      </c>
      <c r="C385" s="388">
        <f>'Credores Quirografarios '!G248</f>
        <v>26.975512727272729</v>
      </c>
    </row>
    <row r="386" spans="2:3">
      <c r="B386" s="379" t="str">
        <f>'Credores Quirografarios '!B249</f>
        <v xml:space="preserve">Radio Brasil Novo Ltda </v>
      </c>
      <c r="C386" s="388">
        <f>'Credores Quirografarios '!G249</f>
        <v>43.432970909090912</v>
      </c>
    </row>
    <row r="387" spans="2:3">
      <c r="B387" s="379" t="str">
        <f>'Credores Quirografarios '!B250</f>
        <v xml:space="preserve">Radio Colon Ltda </v>
      </c>
      <c r="C387" s="388">
        <f>'Credores Quirografarios '!G250</f>
        <v>165.49396363636365</v>
      </c>
    </row>
    <row r="388" spans="2:3">
      <c r="B388" s="379" t="str">
        <f>'Credores Quirografarios '!B251</f>
        <v xml:space="preserve">Radio Cultura de Joinville Ltda </v>
      </c>
      <c r="C388" s="388">
        <f>'Credores Quirografarios '!G251</f>
        <v>328.41357454545454</v>
      </c>
    </row>
    <row r="389" spans="2:3">
      <c r="B389" s="379" t="str">
        <f>'Credores Quirografarios '!B252</f>
        <v>Radio Difusora São Francisco Ltda</v>
      </c>
      <c r="C389" s="388">
        <f>'Credores Quirografarios '!G252</f>
        <v>55.164654545454539</v>
      </c>
    </row>
    <row r="390" spans="2:3">
      <c r="B390" s="379" t="str">
        <f>'Credores Quirografarios '!B253</f>
        <v xml:space="preserve">Radio Floresta Negra Ltda </v>
      </c>
      <c r="C390" s="388">
        <f>'Credores Quirografarios '!G253</f>
        <v>15.170279999999998</v>
      </c>
    </row>
    <row r="391" spans="2:3">
      <c r="B391" s="379" t="str">
        <f>'Credores Quirografarios '!B254</f>
        <v xml:space="preserve">Rede Comunc. Perola Vale Ltda </v>
      </c>
      <c r="C391" s="388">
        <f>'Credores Quirografarios '!G254</f>
        <v>52.645465454545452</v>
      </c>
    </row>
    <row r="392" spans="2:3">
      <c r="B392" s="379" t="str">
        <f>'Credores Quirografarios '!B255</f>
        <v xml:space="preserve">Refinações de Milho Brasil Ltda </v>
      </c>
      <c r="C392" s="388">
        <f>'Credores Quirografarios '!G255</f>
        <v>167.77410181818183</v>
      </c>
    </row>
    <row r="393" spans="2:3">
      <c r="B393" s="379" t="str">
        <f>'Credores Quirografarios '!B256</f>
        <v xml:space="preserve">Refinações de Milho Brasil Ltda </v>
      </c>
      <c r="C393" s="388">
        <f>'Credores Quirografarios '!G256</f>
        <v>19.123745454545457</v>
      </c>
    </row>
    <row r="394" spans="2:3">
      <c r="B394" s="379" t="str">
        <f>'Credores Quirografarios '!B257</f>
        <v>Refinadora Catarinense S/A</v>
      </c>
      <c r="C394" s="388">
        <f>'Credores Quirografarios '!G257</f>
        <v>1277.1169163636364</v>
      </c>
    </row>
    <row r="395" spans="2:3">
      <c r="B395" s="379" t="str">
        <f>'Credores Quirografarios '!B258</f>
        <v xml:space="preserve">Reisol Prod. Alimenticios Ltda </v>
      </c>
      <c r="C395" s="388">
        <f>'Credores Quirografarios '!G258</f>
        <v>62.924480000000003</v>
      </c>
    </row>
    <row r="396" spans="2:3">
      <c r="B396" s="379" t="str">
        <f>'Credores Quirografarios '!B259</f>
        <v xml:space="preserve">Represent. Goedert Stanke Ltda </v>
      </c>
      <c r="C396" s="388">
        <f>'Credores Quirografarios '!G259</f>
        <v>44.131723636363638</v>
      </c>
    </row>
    <row r="397" spans="2:3">
      <c r="B397" s="379" t="str">
        <f>'Credores Quirografarios '!B260</f>
        <v>Restaurante Pizzaria Veneza Ltda</v>
      </c>
      <c r="C397" s="388">
        <f>'Credores Quirografarios '!G260</f>
        <v>136.47771636363635</v>
      </c>
    </row>
    <row r="398" spans="2:3">
      <c r="B398" s="379" t="str">
        <f>'Credores Quirografarios '!B261</f>
        <v xml:space="preserve">Roberto Carlos Fernandes Cia Ltda </v>
      </c>
      <c r="C398" s="388">
        <f>'Credores Quirografarios '!G261</f>
        <v>46.889956363636365</v>
      </c>
    </row>
    <row r="399" spans="2:3">
      <c r="B399" s="379" t="str">
        <f>'Credores Quirografarios '!B262</f>
        <v xml:space="preserve">Romanha Ind. de Alimentos Ltda </v>
      </c>
      <c r="C399" s="388">
        <f>'Credores Quirografarios '!G262</f>
        <v>454.44642181818176</v>
      </c>
    </row>
    <row r="400" spans="2:3">
      <c r="B400" s="379" t="str">
        <f>'Credores Quirografarios '!B263</f>
        <v>Romulo Pereira Martins</v>
      </c>
      <c r="C400" s="388">
        <f>'Credores Quirografarios '!G263</f>
        <v>315.17405818181817</v>
      </c>
    </row>
    <row r="401" spans="2:3">
      <c r="B401" s="379" t="str">
        <f>'Credores Quirografarios '!B264</f>
        <v xml:space="preserve">Rosatex Produtos Quimicos Ltda </v>
      </c>
      <c r="C401" s="388">
        <f>'Credores Quirografarios '!G264</f>
        <v>15.850643636363635</v>
      </c>
    </row>
    <row r="402" spans="2:3">
      <c r="B402" s="379" t="str">
        <f>'Credores Quirografarios '!B265</f>
        <v xml:space="preserve">S/A Moinho Santista Ind. Gerais </v>
      </c>
      <c r="C402" s="388">
        <f>'Credores Quirografarios '!G265</f>
        <v>2531.8185963636361</v>
      </c>
    </row>
    <row r="403" spans="2:3">
      <c r="B403" s="379" t="str">
        <f>'Credores Quirografarios '!B266</f>
        <v>Sadia Concordia S/A</v>
      </c>
      <c r="C403" s="388">
        <f>'Credores Quirografarios '!G266</f>
        <v>10597.681781818181</v>
      </c>
    </row>
    <row r="404" spans="2:3">
      <c r="B404" s="379" t="str">
        <f>'Credores Quirografarios '!B267</f>
        <v xml:space="preserve">Sadia Concordia S/A Ind. e Com. </v>
      </c>
      <c r="C404" s="388">
        <f>'Credores Quirografarios '!G267</f>
        <v>1179.4570872727274</v>
      </c>
    </row>
    <row r="405" spans="2:3">
      <c r="B405" s="379" t="str">
        <f>'Credores Quirografarios '!B268</f>
        <v xml:space="preserve">Salesbran Com. Frutas Verd. e Cereais Ltda </v>
      </c>
      <c r="C405" s="388">
        <f>'Credores Quirografarios '!G268</f>
        <v>12.503985454545454</v>
      </c>
    </row>
    <row r="406" spans="2:3">
      <c r="B406" s="379" t="str">
        <f>'Credores Quirografarios '!B269</f>
        <v xml:space="preserve">São Conrado-Distr. Prod. Alimenticios Ltda </v>
      </c>
      <c r="C406" s="388">
        <f>'Credores Quirografarios '!G269</f>
        <v>1016.6845818181819</v>
      </c>
    </row>
    <row r="407" spans="2:3">
      <c r="B407" s="379" t="str">
        <f>'Credores Quirografarios '!B270</f>
        <v>São Paulo Alpargatas S/A</v>
      </c>
      <c r="C407" s="388">
        <f>'Credores Quirografarios '!G270</f>
        <v>33.466556363636364</v>
      </c>
    </row>
    <row r="408" spans="2:3">
      <c r="B408" s="379" t="str">
        <f>'Credores Quirografarios '!B271</f>
        <v xml:space="preserve">Seagran do Brasil Ind. Com. Ltda </v>
      </c>
      <c r="C408" s="388">
        <f>'Credores Quirografarios '!G271</f>
        <v>390.54736363636363</v>
      </c>
    </row>
    <row r="409" spans="2:3">
      <c r="B409" s="379" t="str">
        <f>'Credores Quirografarios '!B272</f>
        <v>Sedigo Lesniovski e Cia Ltda</v>
      </c>
      <c r="C409" s="388">
        <f>'Credores Quirografarios '!G272</f>
        <v>1637.5627672727273</v>
      </c>
    </row>
    <row r="410" spans="2:3">
      <c r="B410" s="379" t="str">
        <f>'Credores Quirografarios '!B273</f>
        <v xml:space="preserve">Serraco Com. e Industria Ltda </v>
      </c>
      <c r="C410" s="388">
        <f>'Credores Quirografarios '!G273</f>
        <v>35.507647272727276</v>
      </c>
    </row>
    <row r="411" spans="2:3">
      <c r="B411" s="379" t="str">
        <f>'Credores Quirografarios '!B274</f>
        <v xml:space="preserve">Sococo S/A Ind. Alimenticias </v>
      </c>
      <c r="C411" s="388">
        <f>'Credores Quirografarios '!G274</f>
        <v>47.809367272727279</v>
      </c>
    </row>
    <row r="412" spans="2:3">
      <c r="B412" s="379" t="str">
        <f>'Credores Quirografarios '!B275</f>
        <v xml:space="preserve">Somencial Ind. Cevada Ltda </v>
      </c>
      <c r="C412" s="388">
        <f>'Credores Quirografarios '!G275</f>
        <v>11.621352727272727</v>
      </c>
    </row>
    <row r="413" spans="2:3">
      <c r="B413" s="379" t="str">
        <f>'Credores Quirografarios '!B276</f>
        <v xml:space="preserve">Sonho Infantil Com. Repr. Art. Festas Ltda </v>
      </c>
      <c r="C413" s="388">
        <f>'Credores Quirografarios '!G276</f>
        <v>569.57505818181812</v>
      </c>
    </row>
    <row r="414" spans="2:3">
      <c r="B414" s="379" t="str">
        <f>'Credores Quirografarios '!B277</f>
        <v xml:space="preserve">Switf Armour S/A Ind e Com. </v>
      </c>
      <c r="C414" s="388">
        <f>'Credores Quirografarios '!G277</f>
        <v>398.56462909090908</v>
      </c>
    </row>
    <row r="415" spans="2:3">
      <c r="B415" s="379" t="str">
        <f>'Credores Quirografarios '!B278</f>
        <v>Tip Top Alimentos Ltda</v>
      </c>
      <c r="C415" s="388">
        <f>'Credores Quirografarios '!G278</f>
        <v>1273.2002254545455</v>
      </c>
    </row>
    <row r="416" spans="2:3">
      <c r="B416" s="379" t="str">
        <f>'Credores Quirografarios '!B279</f>
        <v xml:space="preserve">Totsu Com. de Frutas e Verduras Ltda </v>
      </c>
      <c r="C416" s="388">
        <f>'Credores Quirografarios '!G279</f>
        <v>43.175534545454546</v>
      </c>
    </row>
    <row r="417" spans="2:3">
      <c r="B417" s="379" t="str">
        <f>'Credores Quirografarios '!B280</f>
        <v>Tramontina Farroupilha S/A</v>
      </c>
      <c r="C417" s="388">
        <f>'Credores Quirografarios '!G280</f>
        <v>170.77138181818182</v>
      </c>
    </row>
    <row r="418" spans="2:3">
      <c r="B418" s="379" t="str">
        <f>'Credores Quirografarios '!B281</f>
        <v xml:space="preserve">Tramontina S/A Cutelaria </v>
      </c>
      <c r="C418" s="388">
        <f>'Credores Quirografarios '!G281</f>
        <v>385.12284</v>
      </c>
    </row>
    <row r="419" spans="2:3">
      <c r="B419" s="379" t="str">
        <f>'Credores Quirografarios '!B282</f>
        <v>Trans. C. de F. e Verduras Bonacolsi Ltda</v>
      </c>
      <c r="C419" s="388">
        <f>'Credores Quirografarios '!G282</f>
        <v>2973.7426436363635</v>
      </c>
    </row>
    <row r="420" spans="2:3">
      <c r="B420" s="379" t="str">
        <f>'Credores Quirografarios '!B283</f>
        <v xml:space="preserve">Ts Com. de Frutas e Verduras Ltda </v>
      </c>
      <c r="C420" s="388">
        <f>'Credores Quirografarios '!G283</f>
        <v>36.776436363636364</v>
      </c>
    </row>
    <row r="421" spans="2:3">
      <c r="B421" s="379" t="str">
        <f>'Credores Quirografarios '!B284</f>
        <v xml:space="preserve">TV Barriga Verde Ltda </v>
      </c>
      <c r="C421" s="388">
        <f>'Credores Quirografarios '!G284</f>
        <v>919.41090909090906</v>
      </c>
    </row>
    <row r="422" spans="2:3">
      <c r="B422" s="379" t="str">
        <f>'Credores Quirografarios '!B285</f>
        <v>U.G. Ind. e Com. de Embal. Ltda</v>
      </c>
      <c r="C422" s="388">
        <f>'Credores Quirografarios '!G285</f>
        <v>331.2821381818182</v>
      </c>
    </row>
    <row r="423" spans="2:3">
      <c r="B423" s="379" t="str">
        <f>'Credores Quirografarios '!B286</f>
        <v>União Fabril Exportadora S/A</v>
      </c>
      <c r="C423" s="388">
        <f>'Credores Quirografarios '!G286</f>
        <v>223.54556727272728</v>
      </c>
    </row>
    <row r="424" spans="2:3">
      <c r="B424" s="379" t="str">
        <f>'Credores Quirografarios '!B287</f>
        <v xml:space="preserve">Universo Com. Reps. Ltda </v>
      </c>
      <c r="C424" s="388">
        <f>'Credores Quirografarios '!G287</f>
        <v>2.0962545454545456</v>
      </c>
    </row>
    <row r="425" spans="2:3">
      <c r="B425" s="379" t="str">
        <f>'Credores Quirografarios '!B288</f>
        <v>Valci Rizzo</v>
      </c>
      <c r="C425" s="388">
        <f>'Credores Quirografarios '!G288</f>
        <v>382.10868363636359</v>
      </c>
    </row>
    <row r="426" spans="2:3">
      <c r="B426" s="379" t="str">
        <f>'Credores Quirografarios '!B289</f>
        <v>Valdecir Dela Rosa</v>
      </c>
      <c r="C426" s="388">
        <f>'Credores Quirografarios '!G289</f>
        <v>84.309978181818181</v>
      </c>
    </row>
    <row r="427" spans="2:3">
      <c r="B427" s="379" t="str">
        <f>'Credores Quirografarios '!B290</f>
        <v>Vemate Verdinha Ind. do Mate Ltda</v>
      </c>
      <c r="C427" s="388">
        <f>'Credores Quirografarios '!G290</f>
        <v>120.75542545454545</v>
      </c>
    </row>
    <row r="428" spans="2:3">
      <c r="B428" s="379" t="str">
        <f>'Credores Quirografarios '!B291</f>
        <v>Visagis S/A Ind. Alimenticias</v>
      </c>
      <c r="C428" s="388">
        <f>'Credores Quirografarios '!G291</f>
        <v>54.870439999999995</v>
      </c>
    </row>
    <row r="429" spans="2:3">
      <c r="B429" s="379" t="str">
        <f>'Credores Quirografarios '!B292</f>
        <v xml:space="preserve">Vontobel S/A Produtos Mu-Mu  </v>
      </c>
      <c r="C429" s="388">
        <f>'Credores Quirografarios '!G292</f>
        <v>203.6127381818182</v>
      </c>
    </row>
    <row r="430" spans="2:3">
      <c r="B430" s="379" t="str">
        <f>'Credores Quirografarios '!B293</f>
        <v>Waldemar Baade</v>
      </c>
      <c r="C430" s="388">
        <f>'Credores Quirografarios '!G293</f>
        <v>1.5446072727272728</v>
      </c>
    </row>
    <row r="431" spans="2:3">
      <c r="B431" s="379" t="str">
        <f>'Credores Quirografarios '!B294</f>
        <v>Weegw Ind. Alimenticia Ltda</v>
      </c>
      <c r="C431" s="388">
        <f>'Credores Quirografarios '!G294</f>
        <v>591.43864727272728</v>
      </c>
    </row>
    <row r="432" spans="2:3">
      <c r="B432" s="379" t="str">
        <f>'Credores Quirografarios '!B295</f>
        <v>Weg Penha Pescados S/A</v>
      </c>
      <c r="C432" s="388">
        <f>'Credores Quirografarios '!G295</f>
        <v>49.611410909090914</v>
      </c>
    </row>
    <row r="433" spans="2:3">
      <c r="B433" s="379" t="str">
        <f>'Credores Quirografarios '!B296</f>
        <v>White Martins Gases Ind. S/A</v>
      </c>
      <c r="C433" s="388">
        <f>'Credores Quirografarios '!G296</f>
        <v>31.223192727272728</v>
      </c>
    </row>
    <row r="434" spans="2:3">
      <c r="B434" s="379" t="str">
        <f>'Credores Quirografarios '!B297</f>
        <v>Yakult S/A Ind. e Com.</v>
      </c>
      <c r="C434" s="388">
        <f>'Credores Quirografarios '!G297</f>
        <v>791.33696727272729</v>
      </c>
    </row>
    <row r="435" spans="2:3">
      <c r="B435" s="400" t="str">
        <f>'Credores Quirografarios '!B298</f>
        <v>York S/A Ind. Com.</v>
      </c>
      <c r="C435" s="401">
        <f>'Credores Quirografarios '!G298</f>
        <v>123.25622545454546</v>
      </c>
    </row>
    <row r="436" spans="2:3">
      <c r="B436" s="409" t="s">
        <v>807</v>
      </c>
      <c r="C436" s="408">
        <f>SUM(C142:C435)</f>
        <v>191702.01394181806</v>
      </c>
    </row>
    <row r="438" spans="2:3">
      <c r="C438" s="208">
        <f>C436-'Credores Quirografarios '!G299</f>
        <v>0</v>
      </c>
    </row>
  </sheetData>
  <mergeCells count="9">
    <mergeCell ref="D71:D124"/>
    <mergeCell ref="B129:E129"/>
    <mergeCell ref="D131:D135"/>
    <mergeCell ref="B140:C140"/>
    <mergeCell ref="B2:E2"/>
    <mergeCell ref="B12:E12"/>
    <mergeCell ref="D4:D8"/>
    <mergeCell ref="D14:D16"/>
    <mergeCell ref="D17:D70"/>
  </mergeCells>
  <pageMargins left="0.511811024" right="0.511811024" top="0.78740157499999996" bottom="0.78740157499999996" header="0.31496062000000002" footer="0.31496062000000002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E70F-D4B4-4C36-B136-C767EDCD6854}">
  <dimension ref="B2:F439"/>
  <sheetViews>
    <sheetView showGridLines="0" zoomScale="90" zoomScaleNormal="90" workbookViewId="0">
      <selection activeCell="E8" sqref="E8"/>
    </sheetView>
  </sheetViews>
  <sheetFormatPr defaultColWidth="8.73046875" defaultRowHeight="13.15"/>
  <cols>
    <col min="1" max="1" width="2.73046875" style="143" customWidth="1"/>
    <col min="2" max="2" width="28.796875" style="143" customWidth="1"/>
    <col min="3" max="4" width="10.796875" style="143" customWidth="1"/>
    <col min="5" max="5" width="62.53125" style="143" bestFit="1" customWidth="1"/>
    <col min="6" max="6" width="13.9296875" style="143" customWidth="1"/>
    <col min="7" max="16384" width="8.73046875" style="143"/>
  </cols>
  <sheetData>
    <row r="2" spans="2:6">
      <c r="B2" s="416" t="s">
        <v>811</v>
      </c>
      <c r="C2" s="416"/>
      <c r="D2" s="416"/>
      <c r="E2" s="416"/>
    </row>
    <row r="3" spans="2:6" ht="26.25">
      <c r="B3" s="404" t="s">
        <v>423</v>
      </c>
      <c r="C3" s="405" t="s">
        <v>812</v>
      </c>
      <c r="D3" s="405" t="s">
        <v>813</v>
      </c>
      <c r="E3" s="404" t="s">
        <v>94</v>
      </c>
    </row>
    <row r="4" spans="2:6">
      <c r="B4" s="376" t="str">
        <f>'Pref-Trabalhistas'!B5</f>
        <v>Municipio de Joinville</v>
      </c>
      <c r="C4" s="377" t="e">
        <f>'Pref-Trabalhistas'!#REF!</f>
        <v>#REF!</v>
      </c>
      <c r="D4" s="422" t="e">
        <f>SUM(C4:C8)</f>
        <v>#REF!</v>
      </c>
      <c r="E4" s="378" t="str">
        <f>'Pref-Trabalhistas'!F6</f>
        <v>EV. 997 - Execução Fiscal n. 0902886-57.2018.8.24.0038</v>
      </c>
    </row>
    <row r="5" spans="2:6">
      <c r="B5" s="379" t="str">
        <f>'Pref-Trabalhistas'!B6</f>
        <v>Municipio de Joinville</v>
      </c>
      <c r="C5" s="380" t="e">
        <f>'Pref-Trabalhistas'!#REF!</f>
        <v>#REF!</v>
      </c>
      <c r="D5" s="423"/>
      <c r="E5" s="381" t="str">
        <f>'Pref-Trabalhistas'!F5</f>
        <v>EV. 997 - Execução Fiscal n. 0903959-98.2017.8.24.0038</v>
      </c>
    </row>
    <row r="6" spans="2:6">
      <c r="B6" s="379" t="str">
        <f>'Pref-Trabalhistas'!B7</f>
        <v>Municipio de Joinville</v>
      </c>
      <c r="C6" s="380" t="e">
        <f>'Pref-Trabalhistas'!#REF!</f>
        <v>#REF!</v>
      </c>
      <c r="D6" s="423"/>
      <c r="E6" s="381" t="str">
        <f>'Pref-Trabalhistas'!F9</f>
        <v>EV. 997 - Execução Fiscal n. 5014350-53.2024.8.24.0023</v>
      </c>
    </row>
    <row r="7" spans="2:6">
      <c r="B7" s="379" t="str">
        <f>'Pref-Trabalhistas'!B8</f>
        <v>Municipio de Joinville</v>
      </c>
      <c r="C7" s="380" t="e">
        <f>'Pref-Trabalhistas'!#REF!</f>
        <v>#REF!</v>
      </c>
      <c r="D7" s="423"/>
      <c r="E7" s="381" t="str">
        <f>'Pref-Trabalhistas'!F7</f>
        <v>EV. 997 - Execução Fiscal n. 5019527-26.2019.8.24.0038</v>
      </c>
    </row>
    <row r="8" spans="2:6">
      <c r="B8" s="382" t="str">
        <f>'Pref-Trabalhistas'!B9</f>
        <v>Municipio de Joinville</v>
      </c>
      <c r="C8" s="383" t="e">
        <f>'Pref-Trabalhistas'!#REF!</f>
        <v>#REF!</v>
      </c>
      <c r="D8" s="424"/>
      <c r="E8" s="384" t="str">
        <f>'Pref-Trabalhistas'!F8</f>
        <v>EV. 997 - Execução Fiscal n. 5088935-47.2022.8.24.0023</v>
      </c>
    </row>
    <row r="9" spans="2:6">
      <c r="B9" s="402" t="s">
        <v>807</v>
      </c>
      <c r="C9" s="403" t="e">
        <f>SUM(C4:C8)</f>
        <v>#REF!</v>
      </c>
      <c r="D9" s="385"/>
      <c r="E9" s="375"/>
    </row>
    <row r="10" spans="2:6">
      <c r="C10" s="374"/>
      <c r="D10" s="374"/>
      <c r="E10" s="375"/>
    </row>
    <row r="11" spans="2:6">
      <c r="C11" s="374"/>
      <c r="D11" s="374"/>
      <c r="E11" s="375"/>
    </row>
    <row r="12" spans="2:6">
      <c r="B12" s="416" t="s">
        <v>810</v>
      </c>
      <c r="C12" s="416"/>
      <c r="D12" s="416"/>
      <c r="E12" s="416"/>
      <c r="F12" s="215"/>
    </row>
    <row r="13" spans="2:6" ht="26.25">
      <c r="B13" s="404" t="s">
        <v>423</v>
      </c>
      <c r="C13" s="405" t="s">
        <v>812</v>
      </c>
      <c r="D13" s="405" t="s">
        <v>813</v>
      </c>
      <c r="E13" s="404" t="s">
        <v>94</v>
      </c>
      <c r="F13" s="215"/>
    </row>
    <row r="14" spans="2:6">
      <c r="B14" s="376" t="str">
        <f>'Pref-Fiscal'!B17</f>
        <v>União</v>
      </c>
      <c r="C14" s="386">
        <f>'Pref-Fiscal'!R17</f>
        <v>93.83</v>
      </c>
      <c r="D14" s="425">
        <f>SUM(C14:C17)</f>
        <v>1059.9100000000001</v>
      </c>
      <c r="E14" s="387" t="str">
        <f>'Pref-Fiscal'!S17</f>
        <v>Ev. 868</v>
      </c>
      <c r="F14" s="215"/>
    </row>
    <row r="15" spans="2:6">
      <c r="B15" s="379" t="str">
        <f>'Pref-Fiscal'!B18</f>
        <v>União</v>
      </c>
      <c r="C15" s="388">
        <f>'Pref-Fiscal'!R18</f>
        <v>134.77000000000001</v>
      </c>
      <c r="D15" s="426"/>
      <c r="E15" s="389" t="str">
        <f>'Pref-Fiscal'!S18</f>
        <v>Ev. 868</v>
      </c>
      <c r="F15" s="215"/>
    </row>
    <row r="16" spans="2:6">
      <c r="B16" s="400" t="s">
        <v>424</v>
      </c>
      <c r="C16" s="388">
        <f>'Pref-Fiscal'!R19</f>
        <v>366.88</v>
      </c>
      <c r="D16" s="427"/>
      <c r="E16" s="415" t="s">
        <v>569</v>
      </c>
      <c r="F16" s="215"/>
    </row>
    <row r="17" spans="2:5">
      <c r="B17" s="382" t="str">
        <f>'Pref-Fiscal'!B19</f>
        <v>União</v>
      </c>
      <c r="C17" s="388">
        <f>'Pref-Fiscal'!R20</f>
        <v>464.43</v>
      </c>
      <c r="D17" s="428"/>
      <c r="E17" s="393" t="str">
        <f>'Pref-Fiscal'!S19</f>
        <v>Ev. 868</v>
      </c>
    </row>
    <row r="18" spans="2:5">
      <c r="B18" s="376" t="str">
        <f>'Pref-Fiscal'!B34&amp;" - "&amp;'Pref-Fiscal'!C34</f>
        <v>Estado de Santa Catarina - ICMS</v>
      </c>
      <c r="C18" s="386">
        <f>'Pref-Fiscal'!R34</f>
        <v>16013.43</v>
      </c>
      <c r="D18" s="425">
        <f>SUM(C18:C71)</f>
        <v>314952.72000000003</v>
      </c>
      <c r="E18" s="376" t="str">
        <f>'Pref-Fiscal'!S34&amp;" - "&amp;'Pref-Fiscal'!T34</f>
        <v>EV. 909 - 0030402-31.1995.8.24.0023</v>
      </c>
    </row>
    <row r="19" spans="2:5">
      <c r="B19" s="379" t="str">
        <f>'Pref-Fiscal'!B36&amp;" - "&amp;'Pref-Fiscal'!C36</f>
        <v>Estado de Santa Catarina - ICMS</v>
      </c>
      <c r="C19" s="388">
        <f>'Pref-Fiscal'!R36</f>
        <v>21634.85</v>
      </c>
      <c r="D19" s="426"/>
      <c r="E19" s="379" t="str">
        <f>'Pref-Fiscal'!S36&amp;" - "&amp;'Pref-Fiscal'!T36</f>
        <v>EV. 909 - 0000542-62.1989.8.24.0033</v>
      </c>
    </row>
    <row r="20" spans="2:5">
      <c r="B20" s="379" t="str">
        <f>'Pref-Fiscal'!B37&amp;" - "&amp;'Pref-Fiscal'!C37</f>
        <v>Estado de Santa Catarina - ICMS</v>
      </c>
      <c r="C20" s="388">
        <f>'Pref-Fiscal'!R37</f>
        <v>1207.52</v>
      </c>
      <c r="D20" s="426"/>
      <c r="E20" s="379" t="str">
        <f>'Pref-Fiscal'!S37&amp;" - "&amp;'Pref-Fiscal'!T37</f>
        <v>EV. 909 - 0005200-70.1996.8.24.0038</v>
      </c>
    </row>
    <row r="21" spans="2:5">
      <c r="B21" s="379" t="str">
        <f>'Pref-Fiscal'!B38&amp;" - "&amp;'Pref-Fiscal'!C38</f>
        <v>Estado de Santa Catarina - ICMS</v>
      </c>
      <c r="C21" s="388">
        <f>'Pref-Fiscal'!R38</f>
        <v>3220.28</v>
      </c>
      <c r="D21" s="426"/>
      <c r="E21" s="379" t="str">
        <f>'Pref-Fiscal'!S38&amp;" - "&amp;'Pref-Fiscal'!T38</f>
        <v>EV. 909 - 0005200-70.1996.8.24.0038</v>
      </c>
    </row>
    <row r="22" spans="2:5">
      <c r="B22" s="379" t="str">
        <f>'Pref-Fiscal'!B39&amp;" - "&amp;'Pref-Fiscal'!C39</f>
        <v>Estado de Santa Catarina - ICMS</v>
      </c>
      <c r="C22" s="388">
        <f>'Pref-Fiscal'!R39</f>
        <v>12749.27</v>
      </c>
      <c r="D22" s="426"/>
      <c r="E22" s="379" t="str">
        <f>'Pref-Fiscal'!S39&amp;" - "&amp;'Pref-Fiscal'!T39</f>
        <v>EV. 909 - 0005200-70.1996.8.24.0038</v>
      </c>
    </row>
    <row r="23" spans="2:5">
      <c r="B23" s="379" t="str">
        <f>'Pref-Fiscal'!B40&amp;" - "&amp;'Pref-Fiscal'!C40</f>
        <v>Estado de Santa Catarina - ICMS</v>
      </c>
      <c r="C23" s="388">
        <f>'Pref-Fiscal'!R40</f>
        <v>234.86</v>
      </c>
      <c r="D23" s="426"/>
      <c r="E23" s="379" t="str">
        <f>'Pref-Fiscal'!S40&amp;" - "&amp;'Pref-Fiscal'!T40</f>
        <v>EV. 909 - 0005200-70.1996.8.24.0038</v>
      </c>
    </row>
    <row r="24" spans="2:5">
      <c r="B24" s="379" t="str">
        <f>'Pref-Fiscal'!B41&amp;" - "&amp;'Pref-Fiscal'!C41</f>
        <v>Estado de Santa Catarina - ICMS</v>
      </c>
      <c r="C24" s="388">
        <f>'Pref-Fiscal'!R41</f>
        <v>598.55999999999995</v>
      </c>
      <c r="D24" s="426"/>
      <c r="E24" s="379" t="str">
        <f>'Pref-Fiscal'!S41&amp;" - "&amp;'Pref-Fiscal'!T41</f>
        <v>EV. 909 - 0005200-70.1996.8.24.0038</v>
      </c>
    </row>
    <row r="25" spans="2:5">
      <c r="B25" s="379" t="str">
        <f>'Pref-Fiscal'!B42&amp;" - "&amp;'Pref-Fiscal'!C42</f>
        <v>Estado de Santa Catarina - ICMS</v>
      </c>
      <c r="C25" s="388">
        <f>'Pref-Fiscal'!R42</f>
        <v>510.37</v>
      </c>
      <c r="D25" s="426"/>
      <c r="E25" s="379" t="str">
        <f>'Pref-Fiscal'!S42&amp;" - "&amp;'Pref-Fiscal'!T42</f>
        <v>EV. 909 - 0005200-70.1996.8.24.0038</v>
      </c>
    </row>
    <row r="26" spans="2:5">
      <c r="B26" s="379" t="str">
        <f>'Pref-Fiscal'!B43&amp;" - "&amp;'Pref-Fiscal'!C43</f>
        <v>Estado de Santa Catarina - ICMS</v>
      </c>
      <c r="C26" s="388">
        <f>'Pref-Fiscal'!R43</f>
        <v>1028.04</v>
      </c>
      <c r="D26" s="426"/>
      <c r="E26" s="379" t="str">
        <f>'Pref-Fiscal'!S43&amp;" - "&amp;'Pref-Fiscal'!T43</f>
        <v>EV. 909 - 0005200-70.1996.8.24.0038</v>
      </c>
    </row>
    <row r="27" spans="2:5">
      <c r="B27" s="379" t="str">
        <f>'Pref-Fiscal'!B44&amp;" - "&amp;'Pref-Fiscal'!C44</f>
        <v>Estado de Santa Catarina - ICMS</v>
      </c>
      <c r="C27" s="388">
        <f>'Pref-Fiscal'!R44</f>
        <v>1254.45</v>
      </c>
      <c r="D27" s="426"/>
      <c r="E27" s="379" t="str">
        <f>'Pref-Fiscal'!S44&amp;" - "&amp;'Pref-Fiscal'!T44</f>
        <v>EV. 909 - 0005200-70.1996.8.24.0038</v>
      </c>
    </row>
    <row r="28" spans="2:5">
      <c r="B28" s="379" t="str">
        <f>'Pref-Fiscal'!B45&amp;" - "&amp;'Pref-Fiscal'!C45</f>
        <v>Estado de Santa Catarina - ICMS</v>
      </c>
      <c r="C28" s="388">
        <f>'Pref-Fiscal'!R45</f>
        <v>363.84</v>
      </c>
      <c r="D28" s="426"/>
      <c r="E28" s="379" t="str">
        <f>'Pref-Fiscal'!S45&amp;" - "&amp;'Pref-Fiscal'!T45</f>
        <v>EV. 909 - 0005200-70.1996.8.24.0038</v>
      </c>
    </row>
    <row r="29" spans="2:5">
      <c r="B29" s="379" t="str">
        <f>'Pref-Fiscal'!B46&amp;" - "&amp;'Pref-Fiscal'!C46</f>
        <v>Estado de Santa Catarina - ICMS</v>
      </c>
      <c r="C29" s="388">
        <f>'Pref-Fiscal'!R46</f>
        <v>1761.11</v>
      </c>
      <c r="D29" s="426"/>
      <c r="E29" s="379" t="str">
        <f>'Pref-Fiscal'!S46&amp;" - "&amp;'Pref-Fiscal'!T46</f>
        <v>EV. 909 - 0005200-70.1996.8.24.0038</v>
      </c>
    </row>
    <row r="30" spans="2:5">
      <c r="B30" s="379" t="str">
        <f>'Pref-Fiscal'!B47&amp;" - "&amp;'Pref-Fiscal'!C47</f>
        <v>Estado de Santa Catarina - ICMS</v>
      </c>
      <c r="C30" s="388">
        <f>'Pref-Fiscal'!R47</f>
        <v>3223.94</v>
      </c>
      <c r="D30" s="426"/>
      <c r="E30" s="379" t="str">
        <f>'Pref-Fiscal'!S47&amp;" - "&amp;'Pref-Fiscal'!T47</f>
        <v>EV. 909 - 0005200-70.1996.8.24.0038</v>
      </c>
    </row>
    <row r="31" spans="2:5">
      <c r="B31" s="379" t="str">
        <f>'Pref-Fiscal'!B48&amp;" - "&amp;'Pref-Fiscal'!C48</f>
        <v>Estado de Santa Catarina - ICMS</v>
      </c>
      <c r="C31" s="388">
        <f>'Pref-Fiscal'!R48</f>
        <v>33007.08</v>
      </c>
      <c r="D31" s="426"/>
      <c r="E31" s="379" t="str">
        <f>'Pref-Fiscal'!S48&amp;" - "&amp;'Pref-Fiscal'!T48</f>
        <v>EV. 909 - 0005200-70.1996.8.24.0038</v>
      </c>
    </row>
    <row r="32" spans="2:5">
      <c r="B32" s="379" t="str">
        <f>'Pref-Fiscal'!B49&amp;" - "&amp;'Pref-Fiscal'!C49</f>
        <v>Estado de Santa Catarina - ICMS</v>
      </c>
      <c r="C32" s="388">
        <f>'Pref-Fiscal'!R49</f>
        <v>1456.76</v>
      </c>
      <c r="D32" s="426"/>
      <c r="E32" s="379" t="str">
        <f>'Pref-Fiscal'!S49&amp;" - "&amp;'Pref-Fiscal'!T49</f>
        <v>EV. 909 - 0005200-70.1996.8.24.0038</v>
      </c>
    </row>
    <row r="33" spans="2:5">
      <c r="B33" s="379" t="str">
        <f>'Pref-Fiscal'!B50&amp;" - "&amp;'Pref-Fiscal'!C50</f>
        <v>Estado de Santa Catarina - ICMS</v>
      </c>
      <c r="C33" s="388">
        <f>'Pref-Fiscal'!R50</f>
        <v>7938.91</v>
      </c>
      <c r="D33" s="426"/>
      <c r="E33" s="379" t="str">
        <f>'Pref-Fiscal'!S50&amp;" - "&amp;'Pref-Fiscal'!T50</f>
        <v>EV. 909 - 0005200-70.1996.8.24.0038</v>
      </c>
    </row>
    <row r="34" spans="2:5">
      <c r="B34" s="379" t="str">
        <f>'Pref-Fiscal'!B51&amp;" - "&amp;'Pref-Fiscal'!C51</f>
        <v>Estado de Santa Catarina - ICMS</v>
      </c>
      <c r="C34" s="388">
        <f>'Pref-Fiscal'!R51</f>
        <v>2008.14</v>
      </c>
      <c r="D34" s="426"/>
      <c r="E34" s="379" t="str">
        <f>'Pref-Fiscal'!S51&amp;" - "&amp;'Pref-Fiscal'!T51</f>
        <v>EV. 909 - 0005200-70.1996.8.24.0038</v>
      </c>
    </row>
    <row r="35" spans="2:5">
      <c r="B35" s="379" t="str">
        <f>'Pref-Fiscal'!B52&amp;" - "&amp;'Pref-Fiscal'!C52</f>
        <v>Estado de Santa Catarina - ICMS</v>
      </c>
      <c r="C35" s="388">
        <f>'Pref-Fiscal'!R52</f>
        <v>2545.75</v>
      </c>
      <c r="D35" s="426"/>
      <c r="E35" s="379" t="str">
        <f>'Pref-Fiscal'!S52&amp;" - "&amp;'Pref-Fiscal'!T52</f>
        <v>EV. 909 - 0005200-70.1996.8.24.0038</v>
      </c>
    </row>
    <row r="36" spans="2:5">
      <c r="B36" s="379" t="str">
        <f>'Pref-Fiscal'!B53&amp;" - "&amp;'Pref-Fiscal'!C53</f>
        <v>Estado de Santa Catarina - ICMS</v>
      </c>
      <c r="C36" s="388">
        <f>'Pref-Fiscal'!R53</f>
        <v>2445.58</v>
      </c>
      <c r="D36" s="426"/>
      <c r="E36" s="379" t="str">
        <f>'Pref-Fiscal'!S53&amp;" - "&amp;'Pref-Fiscal'!T53</f>
        <v>EV. 909 - 0005200-70.1996.8.24.0038</v>
      </c>
    </row>
    <row r="37" spans="2:5">
      <c r="B37" s="379" t="str">
        <f>'Pref-Fiscal'!B54&amp;" - "&amp;'Pref-Fiscal'!C54</f>
        <v>Estado de Santa Catarina - ICMS</v>
      </c>
      <c r="C37" s="388">
        <f>'Pref-Fiscal'!R54</f>
        <v>3409.26</v>
      </c>
      <c r="D37" s="426"/>
      <c r="E37" s="379" t="str">
        <f>'Pref-Fiscal'!S54&amp;" - "&amp;'Pref-Fiscal'!T54</f>
        <v>EV. 909 - 0005200-70.1996.8.24.0038</v>
      </c>
    </row>
    <row r="38" spans="2:5">
      <c r="B38" s="379" t="str">
        <f>'Pref-Fiscal'!B55&amp;" - "&amp;'Pref-Fiscal'!C55</f>
        <v>Estado de Santa Catarina - ICMS</v>
      </c>
      <c r="C38" s="388">
        <f>'Pref-Fiscal'!R55</f>
        <v>10326.4</v>
      </c>
      <c r="D38" s="426"/>
      <c r="E38" s="379" t="str">
        <f>'Pref-Fiscal'!S55&amp;" - "&amp;'Pref-Fiscal'!T55</f>
        <v>EV. 909 - 0005200-70.1996.8.24.0038</v>
      </c>
    </row>
    <row r="39" spans="2:5">
      <c r="B39" s="379" t="str">
        <f>'Pref-Fiscal'!B56&amp;" - "&amp;'Pref-Fiscal'!C56</f>
        <v>Estado de Santa Catarina - ICMS</v>
      </c>
      <c r="C39" s="388">
        <f>'Pref-Fiscal'!R56</f>
        <v>1728.76</v>
      </c>
      <c r="D39" s="426"/>
      <c r="E39" s="379" t="str">
        <f>'Pref-Fiscal'!S56&amp;" - "&amp;'Pref-Fiscal'!T56</f>
        <v>EV. 909 - 0005200-70.1996.8.24.0038</v>
      </c>
    </row>
    <row r="40" spans="2:5">
      <c r="B40" s="379" t="str">
        <f>'Pref-Fiscal'!B57&amp;" - "&amp;'Pref-Fiscal'!C57</f>
        <v>Estado de Santa Catarina - ICMS</v>
      </c>
      <c r="C40" s="388">
        <f>'Pref-Fiscal'!R57</f>
        <v>29770.93</v>
      </c>
      <c r="D40" s="426"/>
      <c r="E40" s="379" t="str">
        <f>'Pref-Fiscal'!S57&amp;" - "&amp;'Pref-Fiscal'!T57</f>
        <v>EV. 909 - 0005200-70.1996.8.24.0038</v>
      </c>
    </row>
    <row r="41" spans="2:5">
      <c r="B41" s="379" t="str">
        <f>'Pref-Fiscal'!B58&amp;" - "&amp;'Pref-Fiscal'!C58</f>
        <v>Estado de Santa Catarina - ICMS</v>
      </c>
      <c r="C41" s="388">
        <f>'Pref-Fiscal'!R58</f>
        <v>3526.91</v>
      </c>
      <c r="D41" s="426"/>
      <c r="E41" s="379" t="str">
        <f>'Pref-Fiscal'!S58&amp;" - "&amp;'Pref-Fiscal'!T58</f>
        <v>EV. 909 - 0005200-70.1996.8.24.0038</v>
      </c>
    </row>
    <row r="42" spans="2:5">
      <c r="B42" s="379" t="str">
        <f>'Pref-Fiscal'!B59&amp;" - "&amp;'Pref-Fiscal'!C59</f>
        <v>Estado de Santa Catarina - ICMS</v>
      </c>
      <c r="C42" s="388">
        <f>'Pref-Fiscal'!R59</f>
        <v>1862.16</v>
      </c>
      <c r="D42" s="426"/>
      <c r="E42" s="379" t="str">
        <f>'Pref-Fiscal'!S59&amp;" - "&amp;'Pref-Fiscal'!T59</f>
        <v>EV. 909 - 0005200-70.1996.8.24.0038</v>
      </c>
    </row>
    <row r="43" spans="2:5">
      <c r="B43" s="379" t="str">
        <f>'Pref-Fiscal'!B60&amp;" - "&amp;'Pref-Fiscal'!C60</f>
        <v>Estado de Santa Catarina - ICMS</v>
      </c>
      <c r="C43" s="388">
        <f>'Pref-Fiscal'!R60</f>
        <v>692.52</v>
      </c>
      <c r="D43" s="426"/>
      <c r="E43" s="379" t="str">
        <f>'Pref-Fiscal'!S60&amp;" - "&amp;'Pref-Fiscal'!T60</f>
        <v>EV. 909 - 0005200-70.1996.8.24.0038</v>
      </c>
    </row>
    <row r="44" spans="2:5">
      <c r="B44" s="379" t="str">
        <f>'Pref-Fiscal'!B61&amp;" - "&amp;'Pref-Fiscal'!C61</f>
        <v>Estado de Santa Catarina - ICMS</v>
      </c>
      <c r="C44" s="388">
        <f>'Pref-Fiscal'!R61</f>
        <v>1453.39</v>
      </c>
      <c r="D44" s="426"/>
      <c r="E44" s="379" t="str">
        <f>'Pref-Fiscal'!S61&amp;" - "&amp;'Pref-Fiscal'!T61</f>
        <v>EV. 909 - 0005200-70.1996.8.24.0038</v>
      </c>
    </row>
    <row r="45" spans="2:5">
      <c r="B45" s="379" t="str">
        <f>'Pref-Fiscal'!B62&amp;" - "&amp;'Pref-Fiscal'!C62</f>
        <v>Estado de Santa Catarina - ICMS</v>
      </c>
      <c r="C45" s="388">
        <f>'Pref-Fiscal'!R62</f>
        <v>3256.26</v>
      </c>
      <c r="D45" s="426"/>
      <c r="E45" s="379" t="str">
        <f>'Pref-Fiscal'!S62&amp;" - "&amp;'Pref-Fiscal'!T62</f>
        <v>EV. 909 - 0005200-70.1996.8.24.0038</v>
      </c>
    </row>
    <row r="46" spans="2:5">
      <c r="B46" s="379" t="str">
        <f>'Pref-Fiscal'!B63&amp;" - "&amp;'Pref-Fiscal'!C63</f>
        <v>Estado de Santa Catarina - ICMS</v>
      </c>
      <c r="C46" s="388">
        <f>'Pref-Fiscal'!R63</f>
        <v>4584.76</v>
      </c>
      <c r="D46" s="426"/>
      <c r="E46" s="379" t="str">
        <f>'Pref-Fiscal'!S63&amp;" - "&amp;'Pref-Fiscal'!T63</f>
        <v>EV. 909 - 0005200-70.1996.8.24.0038</v>
      </c>
    </row>
    <row r="47" spans="2:5">
      <c r="B47" s="379" t="str">
        <f>'Pref-Fiscal'!B64&amp;" - "&amp;'Pref-Fiscal'!C64</f>
        <v>Estado de Santa Catarina - ICMS</v>
      </c>
      <c r="C47" s="388">
        <f>'Pref-Fiscal'!R64</f>
        <v>6739.54</v>
      </c>
      <c r="D47" s="426"/>
      <c r="E47" s="379" t="str">
        <f>'Pref-Fiscal'!S64&amp;" - "&amp;'Pref-Fiscal'!T64</f>
        <v>EV. 909 - 0005200-70.1996.8.24.0038</v>
      </c>
    </row>
    <row r="48" spans="2:5">
      <c r="B48" s="379" t="str">
        <f>'Pref-Fiscal'!B65&amp;" - "&amp;'Pref-Fiscal'!C65</f>
        <v>Estado de Santa Catarina - ICMS</v>
      </c>
      <c r="C48" s="388">
        <f>'Pref-Fiscal'!R65</f>
        <v>17389.84</v>
      </c>
      <c r="D48" s="426"/>
      <c r="E48" s="379" t="str">
        <f>'Pref-Fiscal'!S65&amp;" - "&amp;'Pref-Fiscal'!T65</f>
        <v>EV. 909 - 0005200-70.1996.8.24.0038</v>
      </c>
    </row>
    <row r="49" spans="2:5">
      <c r="B49" s="379" t="str">
        <f>'Pref-Fiscal'!B66&amp;" - "&amp;'Pref-Fiscal'!C66</f>
        <v>Estado de Santa Catarina - ICMS</v>
      </c>
      <c r="C49" s="388">
        <f>'Pref-Fiscal'!R66</f>
        <v>994.79</v>
      </c>
      <c r="D49" s="426"/>
      <c r="E49" s="379" t="str">
        <f>'Pref-Fiscal'!S66&amp;" - "&amp;'Pref-Fiscal'!T66</f>
        <v>EV. 909 - 0005200-70.1996.8.24.0038</v>
      </c>
    </row>
    <row r="50" spans="2:5">
      <c r="B50" s="379" t="str">
        <f>'Pref-Fiscal'!B67&amp;" - "&amp;'Pref-Fiscal'!C67</f>
        <v>Estado de Santa Catarina - ICMS</v>
      </c>
      <c r="C50" s="388">
        <f>'Pref-Fiscal'!R67</f>
        <v>1181.74</v>
      </c>
      <c r="D50" s="426"/>
      <c r="E50" s="379" t="str">
        <f>'Pref-Fiscal'!S67&amp;" - "&amp;'Pref-Fiscal'!T67</f>
        <v>EV. 909 - 0005200-70.1996.8.24.0038</v>
      </c>
    </row>
    <row r="51" spans="2:5">
      <c r="B51" s="379" t="str">
        <f>'Pref-Fiscal'!B68&amp;" - "&amp;'Pref-Fiscal'!C68</f>
        <v>Estado de Santa Catarina - ICMS</v>
      </c>
      <c r="C51" s="388">
        <f>'Pref-Fiscal'!R68</f>
        <v>11858.16</v>
      </c>
      <c r="D51" s="426"/>
      <c r="E51" s="379" t="str">
        <f>'Pref-Fiscal'!S68&amp;" - "&amp;'Pref-Fiscal'!T68</f>
        <v>EV. 909 - 0005192-93.1996.8.24.0038</v>
      </c>
    </row>
    <row r="52" spans="2:5">
      <c r="B52" s="379" t="str">
        <f>'Pref-Fiscal'!B69&amp;" - "&amp;'Pref-Fiscal'!C69</f>
        <v>Estado de Santa Catarina - ICMS</v>
      </c>
      <c r="C52" s="388">
        <f>'Pref-Fiscal'!R69</f>
        <v>3608.01</v>
      </c>
      <c r="D52" s="426"/>
      <c r="E52" s="379" t="str">
        <f>'Pref-Fiscal'!S69&amp;" - "&amp;'Pref-Fiscal'!T69</f>
        <v>EV. 909 - 0005192-93.1996.8.24.0038</v>
      </c>
    </row>
    <row r="53" spans="2:5">
      <c r="B53" s="379" t="str">
        <f>'Pref-Fiscal'!B70&amp;" - "&amp;'Pref-Fiscal'!C70</f>
        <v>Estado de Santa Catarina - ICMS</v>
      </c>
      <c r="C53" s="388">
        <f>'Pref-Fiscal'!R70</f>
        <v>1601.73</v>
      </c>
      <c r="D53" s="426"/>
      <c r="E53" s="379" t="str">
        <f>'Pref-Fiscal'!S70&amp;" - "&amp;'Pref-Fiscal'!T70</f>
        <v>EV. 909 - 0005192-93.1996.8.24.0038</v>
      </c>
    </row>
    <row r="54" spans="2:5">
      <c r="B54" s="379" t="str">
        <f>'Pref-Fiscal'!B71&amp;" - "&amp;'Pref-Fiscal'!C71</f>
        <v>Estado de Santa Catarina - ICMS</v>
      </c>
      <c r="C54" s="388">
        <f>'Pref-Fiscal'!R71</f>
        <v>1340.47</v>
      </c>
      <c r="D54" s="426"/>
      <c r="E54" s="379" t="str">
        <f>'Pref-Fiscal'!S71&amp;" - "&amp;'Pref-Fiscal'!T71</f>
        <v>EV. 909 - 0005192-93.1996.8.24.0038</v>
      </c>
    </row>
    <row r="55" spans="2:5">
      <c r="B55" s="379" t="str">
        <f>'Pref-Fiscal'!B72&amp;" - "&amp;'Pref-Fiscal'!C72</f>
        <v>Estado de Santa Catarina - ICMS</v>
      </c>
      <c r="C55" s="388">
        <f>'Pref-Fiscal'!R72</f>
        <v>3269.01</v>
      </c>
      <c r="D55" s="426"/>
      <c r="E55" s="379" t="str">
        <f>'Pref-Fiscal'!S72&amp;" - "&amp;'Pref-Fiscal'!T72</f>
        <v>EV. 909 - 0005192-93.1996.8.24.0038</v>
      </c>
    </row>
    <row r="56" spans="2:5">
      <c r="B56" s="379" t="str">
        <f>'Pref-Fiscal'!B73&amp;" - "&amp;'Pref-Fiscal'!C73</f>
        <v>Estado de Santa Catarina - ICMS</v>
      </c>
      <c r="C56" s="388">
        <f>'Pref-Fiscal'!R73</f>
        <v>1434.07</v>
      </c>
      <c r="D56" s="426"/>
      <c r="E56" s="379" t="str">
        <f>'Pref-Fiscal'!S73&amp;" - "&amp;'Pref-Fiscal'!T73</f>
        <v>EV. 909 - 0005192-93.1996.8.24.0038</v>
      </c>
    </row>
    <row r="57" spans="2:5">
      <c r="B57" s="379" t="str">
        <f>'Pref-Fiscal'!B74&amp;" - "&amp;'Pref-Fiscal'!C74</f>
        <v>Estado de Santa Catarina - ICMS</v>
      </c>
      <c r="C57" s="388">
        <f>'Pref-Fiscal'!R74</f>
        <v>4149.33</v>
      </c>
      <c r="D57" s="426"/>
      <c r="E57" s="379" t="str">
        <f>'Pref-Fiscal'!S74&amp;" - "&amp;'Pref-Fiscal'!T74</f>
        <v>EV. 909 - 0005192-93.1996.8.24.0038</v>
      </c>
    </row>
    <row r="58" spans="2:5">
      <c r="B58" s="379" t="str">
        <f>'Pref-Fiscal'!B75&amp;" - "&amp;'Pref-Fiscal'!C75</f>
        <v>Estado de Santa Catarina - ICMS</v>
      </c>
      <c r="C58" s="388">
        <f>'Pref-Fiscal'!R75</f>
        <v>846.17</v>
      </c>
      <c r="D58" s="426"/>
      <c r="E58" s="379" t="str">
        <f>'Pref-Fiscal'!S75&amp;" - "&amp;'Pref-Fiscal'!T75</f>
        <v>EV. 909 - 0005192-93.1996.8.24.0038</v>
      </c>
    </row>
    <row r="59" spans="2:5">
      <c r="B59" s="379" t="str">
        <f>'Pref-Fiscal'!B76&amp;" - "&amp;'Pref-Fiscal'!C76</f>
        <v>Estado de Santa Catarina - ICMS</v>
      </c>
      <c r="C59" s="388">
        <f>'Pref-Fiscal'!R76</f>
        <v>284.67</v>
      </c>
      <c r="D59" s="426"/>
      <c r="E59" s="379" t="str">
        <f>'Pref-Fiscal'!S76&amp;" - "&amp;'Pref-Fiscal'!T76</f>
        <v>EV. 909 - 0005192-93.1996.8.24.0038</v>
      </c>
    </row>
    <row r="60" spans="2:5">
      <c r="B60" s="379" t="str">
        <f>'Pref-Fiscal'!B77&amp;" - "&amp;'Pref-Fiscal'!C77</f>
        <v>Estado de Santa Catarina - ICMS</v>
      </c>
      <c r="C60" s="388">
        <f>'Pref-Fiscal'!R77</f>
        <v>1209.56</v>
      </c>
      <c r="D60" s="426"/>
      <c r="E60" s="379" t="str">
        <f>'Pref-Fiscal'!S77&amp;" - "&amp;'Pref-Fiscal'!T77</f>
        <v>EV. 909 - 0005196-33.1996.8.24.0038</v>
      </c>
    </row>
    <row r="61" spans="2:5">
      <c r="B61" s="379" t="str">
        <f>'Pref-Fiscal'!B78&amp;" - "&amp;'Pref-Fiscal'!C78</f>
        <v>Estado de Santa Catarina - ICMS</v>
      </c>
      <c r="C61" s="388">
        <f>'Pref-Fiscal'!R78</f>
        <v>13850.86</v>
      </c>
      <c r="D61" s="426"/>
      <c r="E61" s="379" t="str">
        <f>'Pref-Fiscal'!S78&amp;" - "&amp;'Pref-Fiscal'!T78</f>
        <v>EV. 909 - 0005196-33.1996.8.24.0038</v>
      </c>
    </row>
    <row r="62" spans="2:5">
      <c r="B62" s="379" t="str">
        <f>'Pref-Fiscal'!B79&amp;" - "&amp;'Pref-Fiscal'!C79</f>
        <v>Estado de Santa Catarina - ICMS</v>
      </c>
      <c r="C62" s="388">
        <f>'Pref-Fiscal'!R79</f>
        <v>1338.26</v>
      </c>
      <c r="D62" s="426"/>
      <c r="E62" s="379" t="str">
        <f>'Pref-Fiscal'!S79&amp;" - "&amp;'Pref-Fiscal'!T79</f>
        <v>EV. 909 - 0005196-33.1996.8.24.0038</v>
      </c>
    </row>
    <row r="63" spans="2:5">
      <c r="B63" s="379" t="str">
        <f>'Pref-Fiscal'!B80&amp;" - "&amp;'Pref-Fiscal'!C80</f>
        <v>Estado de Santa Catarina - ICMS</v>
      </c>
      <c r="C63" s="388">
        <f>'Pref-Fiscal'!R80</f>
        <v>309.48</v>
      </c>
      <c r="D63" s="426"/>
      <c r="E63" s="379" t="str">
        <f>'Pref-Fiscal'!S80&amp;" - "&amp;'Pref-Fiscal'!T80</f>
        <v>EV. 909 - 0005196-33.1996.8.24.0038</v>
      </c>
    </row>
    <row r="64" spans="2:5">
      <c r="B64" s="379" t="str">
        <f>'Pref-Fiscal'!B81&amp;" - "&amp;'Pref-Fiscal'!C81</f>
        <v>Estado de Santa Catarina - ICMS</v>
      </c>
      <c r="C64" s="388">
        <f>'Pref-Fiscal'!R81</f>
        <v>1622.36</v>
      </c>
      <c r="D64" s="426"/>
      <c r="E64" s="379" t="str">
        <f>'Pref-Fiscal'!S81&amp;" - "&amp;'Pref-Fiscal'!T81</f>
        <v>EV. 909 - 0005196-33.1996.8.24.0038</v>
      </c>
    </row>
    <row r="65" spans="2:5">
      <c r="B65" s="379" t="str">
        <f>'Pref-Fiscal'!B82&amp;" - "&amp;'Pref-Fiscal'!C82</f>
        <v>Estado de Santa Catarina - ICMS</v>
      </c>
      <c r="C65" s="388">
        <f>'Pref-Fiscal'!R82</f>
        <v>2900.29</v>
      </c>
      <c r="D65" s="426"/>
      <c r="E65" s="379" t="str">
        <f>'Pref-Fiscal'!S82&amp;" - "&amp;'Pref-Fiscal'!T82</f>
        <v>EV. 909 - 0005196-33.1996.8.24.0038</v>
      </c>
    </row>
    <row r="66" spans="2:5">
      <c r="B66" s="379" t="str">
        <f>'Pref-Fiscal'!B83&amp;" - "&amp;'Pref-Fiscal'!C83</f>
        <v>Estado de Santa Catarina - ICMS</v>
      </c>
      <c r="C66" s="388">
        <f>'Pref-Fiscal'!R83</f>
        <v>1000.65</v>
      </c>
      <c r="D66" s="426"/>
      <c r="E66" s="379" t="str">
        <f>'Pref-Fiscal'!S83&amp;" - "&amp;'Pref-Fiscal'!T83</f>
        <v>EV. 909 - 0005196-33.1996.8.24.0038</v>
      </c>
    </row>
    <row r="67" spans="2:5">
      <c r="B67" s="379" t="str">
        <f>'Pref-Fiscal'!B84&amp;" - "&amp;'Pref-Fiscal'!C84</f>
        <v>Estado de Santa Catarina - ICMS</v>
      </c>
      <c r="C67" s="388">
        <f>'Pref-Fiscal'!R84</f>
        <v>2844.13</v>
      </c>
      <c r="D67" s="426"/>
      <c r="E67" s="379" t="str">
        <f>'Pref-Fiscal'!S84&amp;" - "&amp;'Pref-Fiscal'!T84</f>
        <v>EV. 909 - 0005192-93.1996.8.24.0038</v>
      </c>
    </row>
    <row r="68" spans="2:5">
      <c r="B68" s="379" t="str">
        <f>'Pref-Fiscal'!B85&amp;" - "&amp;'Pref-Fiscal'!C85</f>
        <v>Estado de Santa Catarina - ICMS</v>
      </c>
      <c r="C68" s="388">
        <f>'Pref-Fiscal'!R85</f>
        <v>8198.69</v>
      </c>
      <c r="D68" s="426"/>
      <c r="E68" s="379" t="str">
        <f>'Pref-Fiscal'!S85&amp;" - "&amp;'Pref-Fiscal'!T85</f>
        <v>EV. 909 - 0005192-93.1996.8.24.0038</v>
      </c>
    </row>
    <row r="69" spans="2:5">
      <c r="B69" s="379" t="str">
        <f>'Pref-Fiscal'!B86&amp;" - "&amp;'Pref-Fiscal'!C86</f>
        <v>Estado de Santa Catarina - ICMS</v>
      </c>
      <c r="C69" s="388">
        <f>'Pref-Fiscal'!R86</f>
        <v>3619.5</v>
      </c>
      <c r="D69" s="426"/>
      <c r="E69" s="379" t="str">
        <f>'Pref-Fiscal'!S86&amp;" - "&amp;'Pref-Fiscal'!T86</f>
        <v>EV. 909 - 0005192-93.1996.8.24.0038</v>
      </c>
    </row>
    <row r="70" spans="2:5">
      <c r="B70" s="379" t="str">
        <f>'Pref-Fiscal'!B87&amp;" - "&amp;'Pref-Fiscal'!C87</f>
        <v>Estado de Santa Catarina - ICMS</v>
      </c>
      <c r="C70" s="388">
        <f>'Pref-Fiscal'!R87</f>
        <v>47361.03</v>
      </c>
      <c r="D70" s="426"/>
      <c r="E70" s="379" t="str">
        <f>'Pref-Fiscal'!S87&amp;" - "&amp;'Pref-Fiscal'!T87</f>
        <v>EV. 909 - -</v>
      </c>
    </row>
    <row r="71" spans="2:5">
      <c r="B71" s="382" t="str">
        <f>'Pref-Fiscal'!B88&amp;" - "&amp;'Pref-Fiscal'!C88</f>
        <v>Estado de Santa Catarina - ICMS</v>
      </c>
      <c r="C71" s="390">
        <f>'Pref-Fiscal'!R88</f>
        <v>2186.29</v>
      </c>
      <c r="D71" s="428"/>
      <c r="E71" s="382" t="str">
        <f>'Pref-Fiscal'!S88&amp;" - "&amp;'Pref-Fiscal'!T88</f>
        <v>EV. 909 - 0003291-90.1996.8.24.0038</v>
      </c>
    </row>
    <row r="72" spans="2:5">
      <c r="B72" s="391" t="str">
        <f>'Pref-Fiscal'!B90&amp;" - "&amp;'Pref-Fiscal'!C90</f>
        <v>Estado de Santa Catarina - FUNJURE</v>
      </c>
      <c r="C72" s="392">
        <f>'Pref-Fiscal'!R90</f>
        <v>800.67150000000004</v>
      </c>
      <c r="D72" s="429">
        <f>SUM(C72:C125)</f>
        <v>15747.635999999997</v>
      </c>
      <c r="E72" s="391" t="str">
        <f>'Pref-Fiscal'!S90&amp;" - "&amp;'Pref-Fiscal'!T90</f>
        <v xml:space="preserve"> - 0030402-31.1995.8.24.0023</v>
      </c>
    </row>
    <row r="73" spans="2:5">
      <c r="B73" s="379" t="str">
        <f>'Pref-Fiscal'!B92&amp;" - "&amp;'Pref-Fiscal'!C92</f>
        <v>Estado de Santa Catarina - FUNJURE</v>
      </c>
      <c r="C73" s="388">
        <f>'Pref-Fiscal'!R92</f>
        <v>1081.7425000000001</v>
      </c>
      <c r="D73" s="426"/>
      <c r="E73" s="379" t="str">
        <f>'Pref-Fiscal'!S92&amp;" - "&amp;'Pref-Fiscal'!T92</f>
        <v xml:space="preserve"> - 0000542-62.1989.8.24.0033</v>
      </c>
    </row>
    <row r="74" spans="2:5">
      <c r="B74" s="379" t="str">
        <f>'Pref-Fiscal'!B93&amp;" - "&amp;'Pref-Fiscal'!C93</f>
        <v>Estado de Santa Catarina - FUNJURE</v>
      </c>
      <c r="C74" s="388">
        <f>'Pref-Fiscal'!R93</f>
        <v>60.376000000000005</v>
      </c>
      <c r="D74" s="426"/>
      <c r="E74" s="379" t="str">
        <f>'Pref-Fiscal'!S93&amp;" - "&amp;'Pref-Fiscal'!T93</f>
        <v xml:space="preserve"> - 0005200-70.1996.8.24.0038</v>
      </c>
    </row>
    <row r="75" spans="2:5">
      <c r="B75" s="379" t="str">
        <f>'Pref-Fiscal'!B94&amp;" - "&amp;'Pref-Fiscal'!C94</f>
        <v>Estado de Santa Catarina - FUNJURE</v>
      </c>
      <c r="C75" s="388">
        <f>'Pref-Fiscal'!R94</f>
        <v>161.01400000000001</v>
      </c>
      <c r="D75" s="426"/>
      <c r="E75" s="379" t="str">
        <f>'Pref-Fiscal'!S94&amp;" - "&amp;'Pref-Fiscal'!T94</f>
        <v xml:space="preserve"> - 0005200-70.1996.8.24.0038</v>
      </c>
    </row>
    <row r="76" spans="2:5">
      <c r="B76" s="379" t="str">
        <f>'Pref-Fiscal'!B95&amp;" - "&amp;'Pref-Fiscal'!C95</f>
        <v>Estado de Santa Catarina - FUNJURE</v>
      </c>
      <c r="C76" s="388">
        <f>'Pref-Fiscal'!R95</f>
        <v>637.46350000000007</v>
      </c>
      <c r="D76" s="426"/>
      <c r="E76" s="379" t="str">
        <f>'Pref-Fiscal'!S95&amp;" - "&amp;'Pref-Fiscal'!T95</f>
        <v xml:space="preserve"> - 0005200-70.1996.8.24.0038</v>
      </c>
    </row>
    <row r="77" spans="2:5">
      <c r="B77" s="379" t="str">
        <f>'Pref-Fiscal'!B96&amp;" - "&amp;'Pref-Fiscal'!C96</f>
        <v>Estado de Santa Catarina - FUNJURE</v>
      </c>
      <c r="C77" s="388">
        <f>'Pref-Fiscal'!R96</f>
        <v>11.743000000000002</v>
      </c>
      <c r="D77" s="426"/>
      <c r="E77" s="379" t="str">
        <f>'Pref-Fiscal'!S96&amp;" - "&amp;'Pref-Fiscal'!T96</f>
        <v xml:space="preserve"> - 0005200-70.1996.8.24.0038</v>
      </c>
    </row>
    <row r="78" spans="2:5">
      <c r="B78" s="379" t="str">
        <f>'Pref-Fiscal'!B97&amp;" - "&amp;'Pref-Fiscal'!C97</f>
        <v>Estado de Santa Catarina - FUNJURE</v>
      </c>
      <c r="C78" s="388">
        <f>'Pref-Fiscal'!R97</f>
        <v>29.927999999999997</v>
      </c>
      <c r="D78" s="426"/>
      <c r="E78" s="379" t="str">
        <f>'Pref-Fiscal'!S97&amp;" - "&amp;'Pref-Fiscal'!T97</f>
        <v xml:space="preserve"> - 0005200-70.1996.8.24.0038</v>
      </c>
    </row>
    <row r="79" spans="2:5">
      <c r="B79" s="379" t="str">
        <f>'Pref-Fiscal'!B98&amp;" - "&amp;'Pref-Fiscal'!C98</f>
        <v>Estado de Santa Catarina - FUNJURE</v>
      </c>
      <c r="C79" s="388">
        <f>'Pref-Fiscal'!R98</f>
        <v>25.518500000000003</v>
      </c>
      <c r="D79" s="426"/>
      <c r="E79" s="379" t="str">
        <f>'Pref-Fiscal'!S98&amp;" - "&amp;'Pref-Fiscal'!T98</f>
        <v xml:space="preserve"> - 0005200-70.1996.8.24.0038</v>
      </c>
    </row>
    <row r="80" spans="2:5">
      <c r="B80" s="379" t="str">
        <f>'Pref-Fiscal'!B99&amp;" - "&amp;'Pref-Fiscal'!C99</f>
        <v>Estado de Santa Catarina - FUNJURE</v>
      </c>
      <c r="C80" s="388">
        <f>'Pref-Fiscal'!R99</f>
        <v>51.402000000000001</v>
      </c>
      <c r="D80" s="426"/>
      <c r="E80" s="379" t="str">
        <f>'Pref-Fiscal'!S99&amp;" - "&amp;'Pref-Fiscal'!T99</f>
        <v xml:space="preserve"> - 0005200-70.1996.8.24.0038</v>
      </c>
    </row>
    <row r="81" spans="2:5">
      <c r="B81" s="379" t="str">
        <f>'Pref-Fiscal'!B100&amp;" - "&amp;'Pref-Fiscal'!C100</f>
        <v>Estado de Santa Catarina - FUNJURE</v>
      </c>
      <c r="C81" s="388">
        <f>'Pref-Fiscal'!R100</f>
        <v>62.722500000000004</v>
      </c>
      <c r="D81" s="426"/>
      <c r="E81" s="379" t="str">
        <f>'Pref-Fiscal'!S100&amp;" - "&amp;'Pref-Fiscal'!T100</f>
        <v xml:space="preserve"> - 0005200-70.1996.8.24.0038</v>
      </c>
    </row>
    <row r="82" spans="2:5">
      <c r="B82" s="379" t="str">
        <f>'Pref-Fiscal'!B101&amp;" - "&amp;'Pref-Fiscal'!C101</f>
        <v>Estado de Santa Catarina - FUNJURE</v>
      </c>
      <c r="C82" s="388">
        <f>'Pref-Fiscal'!R101</f>
        <v>18.192</v>
      </c>
      <c r="D82" s="426"/>
      <c r="E82" s="379" t="str">
        <f>'Pref-Fiscal'!S101&amp;" - "&amp;'Pref-Fiscal'!T101</f>
        <v xml:space="preserve"> - 0005200-70.1996.8.24.0038</v>
      </c>
    </row>
    <row r="83" spans="2:5">
      <c r="B83" s="379" t="str">
        <f>'Pref-Fiscal'!B102&amp;" - "&amp;'Pref-Fiscal'!C102</f>
        <v>Estado de Santa Catarina - FUNJURE</v>
      </c>
      <c r="C83" s="388">
        <f>'Pref-Fiscal'!R102</f>
        <v>88.055499999999995</v>
      </c>
      <c r="D83" s="426"/>
      <c r="E83" s="379" t="str">
        <f>'Pref-Fiscal'!S102&amp;" - "&amp;'Pref-Fiscal'!T102</f>
        <v xml:space="preserve"> - 0005200-70.1996.8.24.0038</v>
      </c>
    </row>
    <row r="84" spans="2:5">
      <c r="B84" s="379" t="str">
        <f>'Pref-Fiscal'!B103&amp;" - "&amp;'Pref-Fiscal'!C103</f>
        <v>Estado de Santa Catarina - FUNJURE</v>
      </c>
      <c r="C84" s="388">
        <f>'Pref-Fiscal'!R103</f>
        <v>161.197</v>
      </c>
      <c r="D84" s="426"/>
      <c r="E84" s="379" t="str">
        <f>'Pref-Fiscal'!S103&amp;" - "&amp;'Pref-Fiscal'!T103</f>
        <v xml:space="preserve"> - 0005200-70.1996.8.24.0038</v>
      </c>
    </row>
    <row r="85" spans="2:5">
      <c r="B85" s="379" t="str">
        <f>'Pref-Fiscal'!B104&amp;" - "&amp;'Pref-Fiscal'!C104</f>
        <v>Estado de Santa Catarina - FUNJURE</v>
      </c>
      <c r="C85" s="388">
        <f>'Pref-Fiscal'!R104</f>
        <v>1650.3540000000003</v>
      </c>
      <c r="D85" s="426"/>
      <c r="E85" s="379" t="str">
        <f>'Pref-Fiscal'!S104&amp;" - "&amp;'Pref-Fiscal'!T104</f>
        <v xml:space="preserve"> - 0005200-70.1996.8.24.0038</v>
      </c>
    </row>
    <row r="86" spans="2:5">
      <c r="B86" s="379" t="str">
        <f>'Pref-Fiscal'!B105&amp;" - "&amp;'Pref-Fiscal'!C105</f>
        <v>Estado de Santa Catarina - FUNJURE</v>
      </c>
      <c r="C86" s="388">
        <f>'Pref-Fiscal'!R105</f>
        <v>72.838000000000008</v>
      </c>
      <c r="D86" s="426"/>
      <c r="E86" s="379" t="str">
        <f>'Pref-Fiscal'!S105&amp;" - "&amp;'Pref-Fiscal'!T105</f>
        <v xml:space="preserve"> - 0005200-70.1996.8.24.0038</v>
      </c>
    </row>
    <row r="87" spans="2:5">
      <c r="B87" s="379" t="str">
        <f>'Pref-Fiscal'!B106&amp;" - "&amp;'Pref-Fiscal'!C106</f>
        <v>Estado de Santa Catarina - FUNJURE</v>
      </c>
      <c r="C87" s="388">
        <f>'Pref-Fiscal'!R106</f>
        <v>396.94550000000004</v>
      </c>
      <c r="D87" s="426"/>
      <c r="E87" s="379" t="str">
        <f>'Pref-Fiscal'!S106&amp;" - "&amp;'Pref-Fiscal'!T106</f>
        <v xml:space="preserve"> - 0005200-70.1996.8.24.0038</v>
      </c>
    </row>
    <row r="88" spans="2:5">
      <c r="B88" s="379" t="str">
        <f>'Pref-Fiscal'!B107&amp;" - "&amp;'Pref-Fiscal'!C107</f>
        <v>Estado de Santa Catarina - FUNJURE</v>
      </c>
      <c r="C88" s="388">
        <f>'Pref-Fiscal'!R107</f>
        <v>100.40700000000001</v>
      </c>
      <c r="D88" s="426"/>
      <c r="E88" s="379" t="str">
        <f>'Pref-Fiscal'!S107&amp;" - "&amp;'Pref-Fiscal'!T107</f>
        <v xml:space="preserve"> - 0005200-70.1996.8.24.0038</v>
      </c>
    </row>
    <row r="89" spans="2:5">
      <c r="B89" s="379" t="str">
        <f>'Pref-Fiscal'!B108&amp;" - "&amp;'Pref-Fiscal'!C108</f>
        <v>Estado de Santa Catarina - FUNJURE</v>
      </c>
      <c r="C89" s="388">
        <f>'Pref-Fiscal'!R108</f>
        <v>127.28750000000001</v>
      </c>
      <c r="D89" s="426"/>
      <c r="E89" s="379" t="str">
        <f>'Pref-Fiscal'!S108&amp;" - "&amp;'Pref-Fiscal'!T108</f>
        <v xml:space="preserve"> - 0005200-70.1996.8.24.0038</v>
      </c>
    </row>
    <row r="90" spans="2:5">
      <c r="B90" s="379" t="str">
        <f>'Pref-Fiscal'!B109&amp;" - "&amp;'Pref-Fiscal'!C109</f>
        <v>Estado de Santa Catarina - FUNJURE</v>
      </c>
      <c r="C90" s="388">
        <f>'Pref-Fiscal'!R109</f>
        <v>122.279</v>
      </c>
      <c r="D90" s="426"/>
      <c r="E90" s="379" t="str">
        <f>'Pref-Fiscal'!S109&amp;" - "&amp;'Pref-Fiscal'!T109</f>
        <v xml:space="preserve"> - 0005200-70.1996.8.24.0038</v>
      </c>
    </row>
    <row r="91" spans="2:5">
      <c r="B91" s="379" t="str">
        <f>'Pref-Fiscal'!B110&amp;" - "&amp;'Pref-Fiscal'!C110</f>
        <v>Estado de Santa Catarina - FUNJURE</v>
      </c>
      <c r="C91" s="388">
        <f>'Pref-Fiscal'!R110</f>
        <v>170.46300000000002</v>
      </c>
      <c r="D91" s="426"/>
      <c r="E91" s="379" t="str">
        <f>'Pref-Fiscal'!S110&amp;" - "&amp;'Pref-Fiscal'!T110</f>
        <v xml:space="preserve"> - 0005200-70.1996.8.24.0038</v>
      </c>
    </row>
    <row r="92" spans="2:5">
      <c r="B92" s="379" t="str">
        <f>'Pref-Fiscal'!B111&amp;" - "&amp;'Pref-Fiscal'!C111</f>
        <v>Estado de Santa Catarina - FUNJURE</v>
      </c>
      <c r="C92" s="388">
        <f>'Pref-Fiscal'!R111</f>
        <v>516.32000000000005</v>
      </c>
      <c r="D92" s="426"/>
      <c r="E92" s="379" t="str">
        <f>'Pref-Fiscal'!S111&amp;" - "&amp;'Pref-Fiscal'!T111</f>
        <v xml:space="preserve"> - 0005200-70.1996.8.24.0038</v>
      </c>
    </row>
    <row r="93" spans="2:5">
      <c r="B93" s="379" t="str">
        <f>'Pref-Fiscal'!B112&amp;" - "&amp;'Pref-Fiscal'!C112</f>
        <v>Estado de Santa Catarina - FUNJURE</v>
      </c>
      <c r="C93" s="388">
        <f>'Pref-Fiscal'!R112</f>
        <v>86.438000000000002</v>
      </c>
      <c r="D93" s="426"/>
      <c r="E93" s="379" t="str">
        <f>'Pref-Fiscal'!S112&amp;" - "&amp;'Pref-Fiscal'!T112</f>
        <v xml:space="preserve"> - 0005200-70.1996.8.24.0038</v>
      </c>
    </row>
    <row r="94" spans="2:5">
      <c r="B94" s="379" t="str">
        <f>'Pref-Fiscal'!B113&amp;" - "&amp;'Pref-Fiscal'!C113</f>
        <v>Estado de Santa Catarina - FUNJURE</v>
      </c>
      <c r="C94" s="388">
        <f>'Pref-Fiscal'!R113</f>
        <v>1488.5465000000002</v>
      </c>
      <c r="D94" s="426"/>
      <c r="E94" s="379" t="str">
        <f>'Pref-Fiscal'!S113&amp;" - "&amp;'Pref-Fiscal'!T113</f>
        <v xml:space="preserve"> - 0005200-70.1996.8.24.0038</v>
      </c>
    </row>
    <row r="95" spans="2:5">
      <c r="B95" s="379" t="str">
        <f>'Pref-Fiscal'!B114&amp;" - "&amp;'Pref-Fiscal'!C114</f>
        <v>Estado de Santa Catarina - FUNJURE</v>
      </c>
      <c r="C95" s="388">
        <f>'Pref-Fiscal'!R114</f>
        <v>176.34550000000002</v>
      </c>
      <c r="D95" s="426"/>
      <c r="E95" s="379" t="str">
        <f>'Pref-Fiscal'!S114&amp;" - "&amp;'Pref-Fiscal'!T114</f>
        <v xml:space="preserve"> - 0005200-70.1996.8.24.0038</v>
      </c>
    </row>
    <row r="96" spans="2:5">
      <c r="B96" s="379" t="str">
        <f>'Pref-Fiscal'!B115&amp;" - "&amp;'Pref-Fiscal'!C115</f>
        <v>Estado de Santa Catarina - FUNJURE</v>
      </c>
      <c r="C96" s="388">
        <f>'Pref-Fiscal'!R115</f>
        <v>93.108000000000004</v>
      </c>
      <c r="D96" s="426"/>
      <c r="E96" s="379" t="str">
        <f>'Pref-Fiscal'!S115&amp;" - "&amp;'Pref-Fiscal'!T115</f>
        <v xml:space="preserve"> - 0005200-70.1996.8.24.0038</v>
      </c>
    </row>
    <row r="97" spans="2:5">
      <c r="B97" s="379" t="str">
        <f>'Pref-Fiscal'!B116&amp;" - "&amp;'Pref-Fiscal'!C116</f>
        <v>Estado de Santa Catarina - FUNJURE</v>
      </c>
      <c r="C97" s="388">
        <f>'Pref-Fiscal'!R116</f>
        <v>34.625999999999998</v>
      </c>
      <c r="D97" s="426"/>
      <c r="E97" s="379" t="str">
        <f>'Pref-Fiscal'!S116&amp;" - "&amp;'Pref-Fiscal'!T116</f>
        <v xml:space="preserve"> - 0005200-70.1996.8.24.0038</v>
      </c>
    </row>
    <row r="98" spans="2:5">
      <c r="B98" s="379" t="str">
        <f>'Pref-Fiscal'!B117&amp;" - "&amp;'Pref-Fiscal'!C117</f>
        <v>Estado de Santa Catarina - FUNJURE</v>
      </c>
      <c r="C98" s="388">
        <f>'Pref-Fiscal'!R117</f>
        <v>72.669500000000014</v>
      </c>
      <c r="D98" s="426"/>
      <c r="E98" s="379" t="str">
        <f>'Pref-Fiscal'!S117&amp;" - "&amp;'Pref-Fiscal'!T117</f>
        <v xml:space="preserve"> - 0005200-70.1996.8.24.0038</v>
      </c>
    </row>
    <row r="99" spans="2:5">
      <c r="B99" s="379" t="str">
        <f>'Pref-Fiscal'!B118&amp;" - "&amp;'Pref-Fiscal'!C118</f>
        <v>Estado de Santa Catarina - FUNJURE</v>
      </c>
      <c r="C99" s="388">
        <f>'Pref-Fiscal'!R118</f>
        <v>162.81300000000002</v>
      </c>
      <c r="D99" s="426"/>
      <c r="E99" s="379" t="str">
        <f>'Pref-Fiscal'!S118&amp;" - "&amp;'Pref-Fiscal'!T118</f>
        <v xml:space="preserve"> - 0005200-70.1996.8.24.0038</v>
      </c>
    </row>
    <row r="100" spans="2:5">
      <c r="B100" s="379" t="str">
        <f>'Pref-Fiscal'!B119&amp;" - "&amp;'Pref-Fiscal'!C119</f>
        <v>Estado de Santa Catarina - FUNJURE</v>
      </c>
      <c r="C100" s="388">
        <f>'Pref-Fiscal'!R119</f>
        <v>229.23800000000003</v>
      </c>
      <c r="D100" s="426"/>
      <c r="E100" s="379" t="str">
        <f>'Pref-Fiscal'!S119&amp;" - "&amp;'Pref-Fiscal'!T119</f>
        <v xml:space="preserve"> - 0005200-70.1996.8.24.0038</v>
      </c>
    </row>
    <row r="101" spans="2:5">
      <c r="B101" s="379" t="str">
        <f>'Pref-Fiscal'!B120&amp;" - "&amp;'Pref-Fiscal'!C120</f>
        <v>Estado de Santa Catarina - FUNJURE</v>
      </c>
      <c r="C101" s="388">
        <f>'Pref-Fiscal'!R120</f>
        <v>336.97700000000003</v>
      </c>
      <c r="D101" s="426"/>
      <c r="E101" s="379" t="str">
        <f>'Pref-Fiscal'!S120&amp;" - "&amp;'Pref-Fiscal'!T120</f>
        <v xml:space="preserve"> - 0005200-70.1996.8.24.0038</v>
      </c>
    </row>
    <row r="102" spans="2:5">
      <c r="B102" s="379" t="str">
        <f>'Pref-Fiscal'!B121&amp;" - "&amp;'Pref-Fiscal'!C121</f>
        <v>Estado de Santa Catarina - FUNJURE</v>
      </c>
      <c r="C102" s="388">
        <f>'Pref-Fiscal'!R121</f>
        <v>869.49200000000008</v>
      </c>
      <c r="D102" s="426"/>
      <c r="E102" s="379" t="str">
        <f>'Pref-Fiscal'!S121&amp;" - "&amp;'Pref-Fiscal'!T121</f>
        <v xml:space="preserve"> - 0005200-70.1996.8.24.0038</v>
      </c>
    </row>
    <row r="103" spans="2:5">
      <c r="B103" s="379" t="str">
        <f>'Pref-Fiscal'!B122&amp;" - "&amp;'Pref-Fiscal'!C122</f>
        <v>Estado de Santa Catarina - FUNJURE</v>
      </c>
      <c r="C103" s="388">
        <f>'Pref-Fiscal'!R122</f>
        <v>49.7395</v>
      </c>
      <c r="D103" s="426"/>
      <c r="E103" s="379" t="str">
        <f>'Pref-Fiscal'!S122&amp;" - "&amp;'Pref-Fiscal'!T122</f>
        <v xml:space="preserve"> - 0005200-70.1996.8.24.0038</v>
      </c>
    </row>
    <row r="104" spans="2:5">
      <c r="B104" s="379" t="str">
        <f>'Pref-Fiscal'!B123&amp;" - "&amp;'Pref-Fiscal'!C123</f>
        <v>Estado de Santa Catarina - FUNJURE</v>
      </c>
      <c r="C104" s="388">
        <f>'Pref-Fiscal'!R123</f>
        <v>59.087000000000003</v>
      </c>
      <c r="D104" s="426"/>
      <c r="E104" s="379" t="str">
        <f>'Pref-Fiscal'!S123&amp;" - "&amp;'Pref-Fiscal'!T123</f>
        <v xml:space="preserve"> - 0005200-70.1996.8.24.0038</v>
      </c>
    </row>
    <row r="105" spans="2:5">
      <c r="B105" s="379" t="str">
        <f>'Pref-Fiscal'!B124&amp;" - "&amp;'Pref-Fiscal'!C124</f>
        <v>Estado de Santa Catarina - FUNJURE</v>
      </c>
      <c r="C105" s="388">
        <f>'Pref-Fiscal'!R124</f>
        <v>592.90800000000002</v>
      </c>
      <c r="D105" s="426"/>
      <c r="E105" s="379" t="str">
        <f>'Pref-Fiscal'!S124&amp;" - "&amp;'Pref-Fiscal'!T124</f>
        <v xml:space="preserve"> - 0005192-93.1996.8.24.0038</v>
      </c>
    </row>
    <row r="106" spans="2:5">
      <c r="B106" s="379" t="str">
        <f>'Pref-Fiscal'!B125&amp;" - "&amp;'Pref-Fiscal'!C125</f>
        <v>Estado de Santa Catarina - FUNJURE</v>
      </c>
      <c r="C106" s="388">
        <f>'Pref-Fiscal'!R125</f>
        <v>180.40050000000002</v>
      </c>
      <c r="D106" s="426"/>
      <c r="E106" s="379" t="str">
        <f>'Pref-Fiscal'!S125&amp;" - "&amp;'Pref-Fiscal'!T125</f>
        <v xml:space="preserve"> - 0005192-93.1996.8.24.0038</v>
      </c>
    </row>
    <row r="107" spans="2:5">
      <c r="B107" s="379" t="str">
        <f>'Pref-Fiscal'!B126&amp;" - "&amp;'Pref-Fiscal'!C126</f>
        <v>Estado de Santa Catarina - FUNJURE</v>
      </c>
      <c r="C107" s="388">
        <f>'Pref-Fiscal'!R126</f>
        <v>80.086500000000001</v>
      </c>
      <c r="D107" s="426"/>
      <c r="E107" s="379" t="str">
        <f>'Pref-Fiscal'!S126&amp;" - "&amp;'Pref-Fiscal'!T126</f>
        <v xml:space="preserve"> - 0005192-93.1996.8.24.0038</v>
      </c>
    </row>
    <row r="108" spans="2:5">
      <c r="B108" s="379" t="str">
        <f>'Pref-Fiscal'!B127&amp;" - "&amp;'Pref-Fiscal'!C127</f>
        <v>Estado de Santa Catarina - FUNJURE</v>
      </c>
      <c r="C108" s="388">
        <f>'Pref-Fiscal'!R127</f>
        <v>67.023499999999999</v>
      </c>
      <c r="D108" s="426"/>
      <c r="E108" s="379" t="str">
        <f>'Pref-Fiscal'!S127&amp;" - "&amp;'Pref-Fiscal'!T127</f>
        <v xml:space="preserve"> - 0005192-93.1996.8.24.0038</v>
      </c>
    </row>
    <row r="109" spans="2:5">
      <c r="B109" s="379" t="str">
        <f>'Pref-Fiscal'!B128&amp;" - "&amp;'Pref-Fiscal'!C128</f>
        <v>Estado de Santa Catarina - FUNJURE</v>
      </c>
      <c r="C109" s="388">
        <f>'Pref-Fiscal'!R128</f>
        <v>163.45050000000003</v>
      </c>
      <c r="D109" s="426"/>
      <c r="E109" s="379" t="str">
        <f>'Pref-Fiscal'!S128&amp;" - "&amp;'Pref-Fiscal'!T128</f>
        <v xml:space="preserve"> - 0005192-93.1996.8.24.0038</v>
      </c>
    </row>
    <row r="110" spans="2:5">
      <c r="B110" s="379" t="str">
        <f>'Pref-Fiscal'!B129&amp;" - "&amp;'Pref-Fiscal'!C129</f>
        <v>Estado de Santa Catarina - FUNJURE</v>
      </c>
      <c r="C110" s="388">
        <f>'Pref-Fiscal'!R129</f>
        <v>71.703500000000005</v>
      </c>
      <c r="D110" s="426"/>
      <c r="E110" s="379" t="str">
        <f>'Pref-Fiscal'!S129&amp;" - "&amp;'Pref-Fiscal'!T129</f>
        <v xml:space="preserve"> - 0005192-93.1996.8.24.0038</v>
      </c>
    </row>
    <row r="111" spans="2:5">
      <c r="B111" s="379" t="str">
        <f>'Pref-Fiscal'!B130&amp;" - "&amp;'Pref-Fiscal'!C130</f>
        <v>Estado de Santa Catarina - FUNJURE</v>
      </c>
      <c r="C111" s="388">
        <f>'Pref-Fiscal'!R130</f>
        <v>207.4665</v>
      </c>
      <c r="D111" s="426"/>
      <c r="E111" s="379" t="str">
        <f>'Pref-Fiscal'!S130&amp;" - "&amp;'Pref-Fiscal'!T130</f>
        <v xml:space="preserve"> - 0005192-93.1996.8.24.0038</v>
      </c>
    </row>
    <row r="112" spans="2:5">
      <c r="B112" s="379" t="str">
        <f>'Pref-Fiscal'!B131&amp;" - "&amp;'Pref-Fiscal'!C131</f>
        <v>Estado de Santa Catarina - FUNJURE</v>
      </c>
      <c r="C112" s="388">
        <f>'Pref-Fiscal'!R131</f>
        <v>42.308500000000002</v>
      </c>
      <c r="D112" s="426"/>
      <c r="E112" s="379" t="str">
        <f>'Pref-Fiscal'!S131&amp;" - "&amp;'Pref-Fiscal'!T131</f>
        <v xml:space="preserve"> - 0005192-93.1996.8.24.0038</v>
      </c>
    </row>
    <row r="113" spans="2:5">
      <c r="B113" s="379" t="str">
        <f>'Pref-Fiscal'!B132&amp;" - "&amp;'Pref-Fiscal'!C132</f>
        <v>Estado de Santa Catarina - FUNJURE</v>
      </c>
      <c r="C113" s="388">
        <f>'Pref-Fiscal'!R132</f>
        <v>14.233500000000001</v>
      </c>
      <c r="D113" s="426"/>
      <c r="E113" s="379" t="str">
        <f>'Pref-Fiscal'!S132&amp;" - "&amp;'Pref-Fiscal'!T132</f>
        <v xml:space="preserve"> - 0005192-93.1996.8.24.0038</v>
      </c>
    </row>
    <row r="114" spans="2:5">
      <c r="B114" s="379" t="str">
        <f>'Pref-Fiscal'!B133&amp;" - "&amp;'Pref-Fiscal'!C133</f>
        <v>Estado de Santa Catarina - FUNJURE</v>
      </c>
      <c r="C114" s="388">
        <f>'Pref-Fiscal'!R133</f>
        <v>60.478000000000002</v>
      </c>
      <c r="D114" s="426"/>
      <c r="E114" s="379" t="str">
        <f>'Pref-Fiscal'!S133&amp;" - "&amp;'Pref-Fiscal'!T133</f>
        <v xml:space="preserve"> - 0005196-33.1996.8.24.0038</v>
      </c>
    </row>
    <row r="115" spans="2:5">
      <c r="B115" s="379" t="str">
        <f>'Pref-Fiscal'!B134&amp;" - "&amp;'Pref-Fiscal'!C134</f>
        <v>Estado de Santa Catarina - FUNJURE</v>
      </c>
      <c r="C115" s="388">
        <f>'Pref-Fiscal'!R134</f>
        <v>692.54300000000012</v>
      </c>
      <c r="D115" s="426"/>
      <c r="E115" s="379" t="str">
        <f>'Pref-Fiscal'!S134&amp;" - "&amp;'Pref-Fiscal'!T134</f>
        <v xml:space="preserve"> - 0005196-33.1996.8.24.0038</v>
      </c>
    </row>
    <row r="116" spans="2:5">
      <c r="B116" s="379" t="str">
        <f>'Pref-Fiscal'!B135&amp;" - "&amp;'Pref-Fiscal'!C135</f>
        <v>Estado de Santa Catarina - FUNJURE</v>
      </c>
      <c r="C116" s="388">
        <f>'Pref-Fiscal'!R135</f>
        <v>66.912999999999997</v>
      </c>
      <c r="D116" s="426"/>
      <c r="E116" s="379" t="str">
        <f>'Pref-Fiscal'!S135&amp;" - "&amp;'Pref-Fiscal'!T135</f>
        <v xml:space="preserve"> - 0005196-33.1996.8.24.0038</v>
      </c>
    </row>
    <row r="117" spans="2:5">
      <c r="B117" s="379" t="str">
        <f>'Pref-Fiscal'!B136&amp;" - "&amp;'Pref-Fiscal'!C136</f>
        <v>Estado de Santa Catarina - FUNJURE</v>
      </c>
      <c r="C117" s="388">
        <f>'Pref-Fiscal'!R136</f>
        <v>15.474000000000002</v>
      </c>
      <c r="D117" s="426"/>
      <c r="E117" s="379" t="str">
        <f>'Pref-Fiscal'!S136&amp;" - "&amp;'Pref-Fiscal'!T136</f>
        <v xml:space="preserve"> - 0005196-33.1996.8.24.0038</v>
      </c>
    </row>
    <row r="118" spans="2:5">
      <c r="B118" s="379" t="str">
        <f>'Pref-Fiscal'!B137&amp;" - "&amp;'Pref-Fiscal'!C137</f>
        <v>Estado de Santa Catarina - FUNJURE</v>
      </c>
      <c r="C118" s="388">
        <f>'Pref-Fiscal'!R137</f>
        <v>81.117999999999995</v>
      </c>
      <c r="D118" s="426"/>
      <c r="E118" s="379" t="str">
        <f>'Pref-Fiscal'!S137&amp;" - "&amp;'Pref-Fiscal'!T137</f>
        <v xml:space="preserve"> - 0005196-33.1996.8.24.0038</v>
      </c>
    </row>
    <row r="119" spans="2:5">
      <c r="B119" s="379" t="str">
        <f>'Pref-Fiscal'!B138&amp;" - "&amp;'Pref-Fiscal'!C138</f>
        <v>Estado de Santa Catarina - FUNJURE</v>
      </c>
      <c r="C119" s="388">
        <f>'Pref-Fiscal'!R138</f>
        <v>145.0145</v>
      </c>
      <c r="D119" s="426"/>
      <c r="E119" s="379" t="str">
        <f>'Pref-Fiscal'!S138&amp;" - "&amp;'Pref-Fiscal'!T138</f>
        <v xml:space="preserve"> - 0005196-33.1996.8.24.0038</v>
      </c>
    </row>
    <row r="120" spans="2:5">
      <c r="B120" s="379" t="str">
        <f>'Pref-Fiscal'!B139&amp;" - "&amp;'Pref-Fiscal'!C139</f>
        <v>Estado de Santa Catarina - FUNJURE</v>
      </c>
      <c r="C120" s="388">
        <f>'Pref-Fiscal'!R139</f>
        <v>50.032499999999999</v>
      </c>
      <c r="D120" s="426"/>
      <c r="E120" s="379" t="str">
        <f>'Pref-Fiscal'!S139&amp;" - "&amp;'Pref-Fiscal'!T139</f>
        <v xml:space="preserve"> - 0005196-33.1996.8.24.0038</v>
      </c>
    </row>
    <row r="121" spans="2:5">
      <c r="B121" s="379" t="str">
        <f>'Pref-Fiscal'!B140&amp;" - "&amp;'Pref-Fiscal'!C140</f>
        <v>Estado de Santa Catarina - FUNJURE</v>
      </c>
      <c r="C121" s="388">
        <f>'Pref-Fiscal'!R140</f>
        <v>142.20650000000001</v>
      </c>
      <c r="D121" s="426"/>
      <c r="E121" s="379" t="str">
        <f>'Pref-Fiscal'!S140&amp;" - "&amp;'Pref-Fiscal'!T140</f>
        <v xml:space="preserve"> - 0005192-93.1996.8.24.0038</v>
      </c>
    </row>
    <row r="122" spans="2:5">
      <c r="B122" s="379" t="str">
        <f>'Pref-Fiscal'!B141&amp;" - "&amp;'Pref-Fiscal'!C141</f>
        <v>Estado de Santa Catarina - FUNJURE</v>
      </c>
      <c r="C122" s="388">
        <f>'Pref-Fiscal'!R141</f>
        <v>409.93450000000007</v>
      </c>
      <c r="D122" s="426"/>
      <c r="E122" s="379" t="str">
        <f>'Pref-Fiscal'!S141&amp;" - "&amp;'Pref-Fiscal'!T141</f>
        <v xml:space="preserve"> - 0005192-93.1996.8.24.0038</v>
      </c>
    </row>
    <row r="123" spans="2:5">
      <c r="B123" s="379" t="str">
        <f>'Pref-Fiscal'!B142&amp;" - "&amp;'Pref-Fiscal'!C142</f>
        <v>Estado de Santa Catarina - FUNJURE</v>
      </c>
      <c r="C123" s="388">
        <f>'Pref-Fiscal'!R142</f>
        <v>180.97500000000002</v>
      </c>
      <c r="D123" s="426"/>
      <c r="E123" s="379" t="str">
        <f>'Pref-Fiscal'!S142&amp;" - "&amp;'Pref-Fiscal'!T142</f>
        <v xml:space="preserve"> - 0005192-93.1996.8.24.0038</v>
      </c>
    </row>
    <row r="124" spans="2:5">
      <c r="B124" s="379" t="str">
        <f>'Pref-Fiscal'!B143&amp;" - "&amp;'Pref-Fiscal'!C143</f>
        <v>Estado de Santa Catarina - FUNJURE</v>
      </c>
      <c r="C124" s="388">
        <f>'Pref-Fiscal'!R143</f>
        <v>2368.0515</v>
      </c>
      <c r="D124" s="426"/>
      <c r="E124" s="379" t="str">
        <f>'Pref-Fiscal'!S143&amp;" - "&amp;'Pref-Fiscal'!T143</f>
        <v xml:space="preserve"> - -</v>
      </c>
    </row>
    <row r="125" spans="2:5">
      <c r="B125" s="382" t="str">
        <f>'Pref-Fiscal'!B144&amp;" - "&amp;'Pref-Fiscal'!C144</f>
        <v>Estado de Santa Catarina - FUNJURE</v>
      </c>
      <c r="C125" s="390">
        <f>'Pref-Fiscal'!R144</f>
        <v>109.31450000000001</v>
      </c>
      <c r="D125" s="428"/>
      <c r="E125" s="382" t="str">
        <f>'Pref-Fiscal'!S144&amp;" - "&amp;'Pref-Fiscal'!T144</f>
        <v xml:space="preserve"> - 0003291-90.1996.8.24.0038</v>
      </c>
    </row>
    <row r="126" spans="2:5">
      <c r="B126" s="402" t="s">
        <v>807</v>
      </c>
      <c r="C126" s="406">
        <f>SUM(C14:C125)</f>
        <v>331760.26599999989</v>
      </c>
      <c r="D126" s="406">
        <f>SUM(D14:D125)</f>
        <v>331760.266</v>
      </c>
    </row>
    <row r="128" spans="2:5">
      <c r="C128" s="208">
        <f>C126-'Pref-Fiscal'!R174</f>
        <v>0</v>
      </c>
      <c r="E128" s="208"/>
    </row>
    <row r="130" spans="2:5">
      <c r="B130" s="416" t="s">
        <v>814</v>
      </c>
      <c r="C130" s="416"/>
      <c r="D130" s="416"/>
      <c r="E130" s="416"/>
    </row>
    <row r="131" spans="2:5" ht="26.25">
      <c r="B131" s="404" t="s">
        <v>423</v>
      </c>
      <c r="C131" s="405" t="s">
        <v>812</v>
      </c>
      <c r="D131" s="405" t="s">
        <v>813</v>
      </c>
      <c r="E131" s="404" t="s">
        <v>94</v>
      </c>
    </row>
    <row r="132" spans="2:5">
      <c r="B132" s="376" t="str">
        <f>'Pref-EncargoMassa'!B22</f>
        <v>Municipio de Joinville</v>
      </c>
      <c r="C132" s="397">
        <f>'Pref-EncargoMassa'!R22</f>
        <v>7750.74</v>
      </c>
      <c r="D132" s="417">
        <f>SUM(C132:C136)</f>
        <v>55076.87</v>
      </c>
      <c r="E132" s="376" t="str">
        <f>'Pref-EncargoMassa'!S22&amp;" - "&amp;'Pref-EncargoMassa'!T22</f>
        <v>Ev. 997 - Execução Fiscal n. 0903959-98.2017.8.24.0038 - CDA 4866/2017</v>
      </c>
    </row>
    <row r="133" spans="2:5">
      <c r="B133" s="379" t="str">
        <f>'Pref-EncargoMassa'!B23</f>
        <v>Municipio de Joinville</v>
      </c>
      <c r="C133" s="398">
        <f>'Pref-EncargoMassa'!R23</f>
        <v>9189.3700000000008</v>
      </c>
      <c r="D133" s="418"/>
      <c r="E133" s="379" t="str">
        <f>'Pref-EncargoMassa'!S23&amp;" - "&amp;'Pref-EncargoMassa'!T23</f>
        <v>Ev. 997 - Execução Fiscal n. 5019527-26.2019.8.24.0038 - CDA 18965/2019</v>
      </c>
    </row>
    <row r="134" spans="2:5">
      <c r="B134" s="379" t="str">
        <f>'Pref-EncargoMassa'!B24</f>
        <v>Municipio de Joinville</v>
      </c>
      <c r="C134" s="398">
        <f>'Pref-EncargoMassa'!R24</f>
        <v>8515.2900000000009</v>
      </c>
      <c r="D134" s="418"/>
      <c r="E134" s="379" t="str">
        <f>'Pref-EncargoMassa'!S24&amp;" - "&amp;'Pref-EncargoMassa'!T24</f>
        <v>Ev. 997 - Execução Fiscal n. 0902886-57.2018.8.24.0038 - CDA 9180/2018</v>
      </c>
    </row>
    <row r="135" spans="2:5">
      <c r="B135" s="379" t="str">
        <f>'Pref-EncargoMassa'!B25</f>
        <v>Municipio de Joinville</v>
      </c>
      <c r="C135" s="398">
        <f>'Pref-EncargoMassa'!R25</f>
        <v>20202.54</v>
      </c>
      <c r="D135" s="418"/>
      <c r="E135" s="379" t="str">
        <f>'Pref-EncargoMassa'!S25&amp;" - "&amp;'Pref-EncargoMassa'!T25</f>
        <v>Ev. 997 - Execução Fiscal n. 5014350-53.2024.8.24.0023 - CDAs 1404 e 1405/2014</v>
      </c>
    </row>
    <row r="136" spans="2:5">
      <c r="B136" s="382" t="str">
        <f>'Pref-EncargoMassa'!B26</f>
        <v>Municipio de Joinville</v>
      </c>
      <c r="C136" s="399">
        <f>'Pref-EncargoMassa'!R26</f>
        <v>9418.93</v>
      </c>
      <c r="D136" s="419"/>
      <c r="E136" s="382" t="str">
        <f>'Pref-EncargoMassa'!S26&amp;" - "&amp;'Pref-EncargoMassa'!T26</f>
        <v>Ev. 997 - Execução Fiscal n. 5088935-47.2022.8.24.0023 - CDAs 42608/2022</v>
      </c>
    </row>
    <row r="137" spans="2:5">
      <c r="B137" s="407" t="s">
        <v>807</v>
      </c>
      <c r="C137" s="408">
        <f>SUM(C132:C136)</f>
        <v>55076.87</v>
      </c>
      <c r="D137" s="408">
        <f>SUM(D132:D136)</f>
        <v>55076.87</v>
      </c>
    </row>
    <row r="141" spans="2:5">
      <c r="B141" s="420" t="s">
        <v>815</v>
      </c>
      <c r="C141" s="421"/>
    </row>
    <row r="142" spans="2:5" ht="26.25">
      <c r="B142" s="404" t="s">
        <v>423</v>
      </c>
      <c r="C142" s="405" t="s">
        <v>812</v>
      </c>
    </row>
    <row r="143" spans="2:5">
      <c r="B143" s="376" t="str">
        <f>'Credores Quirografarios '!B5</f>
        <v xml:space="preserve">3M do Brasil Ltda </v>
      </c>
      <c r="C143" s="386">
        <f>'Credores Quirografarios '!G5</f>
        <v>21.716483636363638</v>
      </c>
    </row>
    <row r="144" spans="2:5">
      <c r="B144" s="379" t="str">
        <f>'Credores Quirografarios '!B6</f>
        <v xml:space="preserve">A B Loss e Cia Ltda </v>
      </c>
      <c r="C144" s="388">
        <f>'Credores Quirografarios '!G6</f>
        <v>127.61423272727274</v>
      </c>
    </row>
    <row r="145" spans="2:3">
      <c r="B145" s="379" t="str">
        <f>'Credores Quirografarios '!B7</f>
        <v xml:space="preserve">A C L Com. e Verduras Ltda </v>
      </c>
      <c r="C145" s="388">
        <f>'Credores Quirografarios '!G7</f>
        <v>807.15083636363624</v>
      </c>
    </row>
    <row r="146" spans="2:3">
      <c r="B146" s="379" t="str">
        <f>'Credores Quirografarios '!B8</f>
        <v>Acacio Jorge Bruno Neves</v>
      </c>
      <c r="C146" s="388">
        <f>'Credores Quirografarios '!G8</f>
        <v>500.95022545454549</v>
      </c>
    </row>
    <row r="147" spans="2:3">
      <c r="B147" s="379" t="str">
        <f>'Credores Quirografarios '!B9</f>
        <v>ACG-Industria Alimentícia Ltda</v>
      </c>
      <c r="C147" s="388">
        <f>'Credores Quirografarios '!G9</f>
        <v>131.21832363636364</v>
      </c>
    </row>
    <row r="148" spans="2:3">
      <c r="B148" s="379" t="str">
        <f>'Credores Quirografarios '!B10</f>
        <v>Adolar Kasulke</v>
      </c>
      <c r="C148" s="388">
        <f>'Credores Quirografarios '!G10</f>
        <v>219.27950181818181</v>
      </c>
    </row>
    <row r="149" spans="2:3">
      <c r="B149" s="379" t="str">
        <f>'Credores Quirografarios '!B11</f>
        <v xml:space="preserve">Agro Com. Novo Mundo Ltda </v>
      </c>
      <c r="C149" s="388">
        <f>'Credores Quirografarios '!G11</f>
        <v>42.605498181818177</v>
      </c>
    </row>
    <row r="150" spans="2:3">
      <c r="B150" s="379" t="str">
        <f>'Credores Quirografarios '!B12</f>
        <v xml:space="preserve">Agro Comercial Colombense Ltda </v>
      </c>
      <c r="C150" s="388">
        <f>'Credores Quirografarios '!G12</f>
        <v>18.204334545454543</v>
      </c>
    </row>
    <row r="151" spans="2:3">
      <c r="B151" s="379" t="str">
        <f>'Credores Quirografarios '!B13</f>
        <v>Agroeliane S/A Ind. de Alimentos</v>
      </c>
      <c r="C151" s="388">
        <f>'Credores Quirografarios '!G13</f>
        <v>728.66992000000005</v>
      </c>
    </row>
    <row r="152" spans="2:3">
      <c r="B152" s="379" t="str">
        <f>'Credores Quirografarios '!B14</f>
        <v xml:space="preserve">Ailiram S/A Produtos Alimentícios </v>
      </c>
      <c r="C152" s="388">
        <f>'Credores Quirografarios '!G14</f>
        <v>283.63826545454543</v>
      </c>
    </row>
    <row r="153" spans="2:3">
      <c r="B153" s="379" t="str">
        <f>'Credores Quirografarios '!B15</f>
        <v>Albercht Carnes Nobres Ltda</v>
      </c>
      <c r="C153" s="388">
        <f>'Credores Quirografarios '!G15</f>
        <v>1100.3877490909092</v>
      </c>
    </row>
    <row r="154" spans="2:3">
      <c r="B154" s="379" t="str">
        <f>'Credores Quirografarios '!B16</f>
        <v xml:space="preserve">Alceu Breda e Cia Ltda </v>
      </c>
      <c r="C154" s="388">
        <f>'Credores Quirografarios '!G16</f>
        <v>117.00422909090909</v>
      </c>
    </row>
    <row r="155" spans="2:3">
      <c r="B155" s="379" t="str">
        <f>'Credores Quirografarios '!B17</f>
        <v>ALDI - Mercantil e Empreendimentos Ltda</v>
      </c>
      <c r="C155" s="388">
        <f>'Credores Quirografarios '!G17</f>
        <v>899.64357454545461</v>
      </c>
    </row>
    <row r="156" spans="2:3">
      <c r="B156" s="379" t="str">
        <f>'Credores Quirografarios '!B18</f>
        <v>Alfredo Bucheim S/A Ind. Com.</v>
      </c>
      <c r="C156" s="388">
        <f>'Credores Quirografarios '!G18</f>
        <v>45.455672727272727</v>
      </c>
    </row>
    <row r="157" spans="2:3">
      <c r="B157" s="379" t="str">
        <f>'Credores Quirografarios '!B19</f>
        <v>Alim. Congelados Freezer Bom Ltda</v>
      </c>
      <c r="C157" s="388">
        <f>'Credores Quirografarios '!G19</f>
        <v>51.468621818181816</v>
      </c>
    </row>
    <row r="158" spans="2:3">
      <c r="B158" s="379" t="str">
        <f>'Credores Quirografarios '!B20</f>
        <v xml:space="preserve">Alimenticios Sasse Ltda </v>
      </c>
      <c r="C158" s="388">
        <f>'Credores Quirografarios '!G20</f>
        <v>684.88757090909098</v>
      </c>
    </row>
    <row r="159" spans="2:3">
      <c r="B159" s="379" t="str">
        <f>'Credores Quirografarios '!B21</f>
        <v xml:space="preserve">Amend. e Cia. Ltda Com. e Repres. </v>
      </c>
      <c r="C159" s="388">
        <f>'Credores Quirografarios '!G21</f>
        <v>174.46741090909092</v>
      </c>
    </row>
    <row r="160" spans="2:3">
      <c r="B160" s="379" t="str">
        <f>'Credores Quirografarios '!B22</f>
        <v xml:space="preserve">Antonio Sassaki E Filho Ltda </v>
      </c>
      <c r="C160" s="388">
        <f>'Credores Quirografarios '!G22</f>
        <v>26.846796363636365</v>
      </c>
    </row>
    <row r="161" spans="2:3">
      <c r="B161" s="379" t="str">
        <f>'Credores Quirografarios '!B23</f>
        <v xml:space="preserve">Araucaria Com. e Repres. Ltda </v>
      </c>
      <c r="C161" s="388">
        <f>'Credores Quirografarios '!G23</f>
        <v>34.680178181818185</v>
      </c>
    </row>
    <row r="162" spans="2:3">
      <c r="B162" s="379" t="str">
        <f>'Credores Quirografarios '!B24</f>
        <v xml:space="preserve">Arco-Iris Prod. Alimenticios Ltda </v>
      </c>
      <c r="C162" s="388">
        <f>'Credores Quirografarios '!G24</f>
        <v>15.666759999999998</v>
      </c>
    </row>
    <row r="163" spans="2:3">
      <c r="B163" s="379" t="str">
        <f>'Credores Quirografarios '!B25</f>
        <v>Arisco Prod. Alimentícios Ltda</v>
      </c>
      <c r="C163" s="388">
        <f>'Credores Quirografarios '!G25</f>
        <v>6280.0729890909088</v>
      </c>
    </row>
    <row r="164" spans="2:3">
      <c r="B164" s="379" t="str">
        <f>'Credores Quirografarios '!B26</f>
        <v>Atlantis Brasil Com. e Ind. Ltda</v>
      </c>
      <c r="C164" s="388">
        <f>'Credores Quirografarios '!G26</f>
        <v>371.60749818181819</v>
      </c>
    </row>
    <row r="165" spans="2:3">
      <c r="B165" s="379" t="str">
        <f>'Credores Quirografarios '!B27</f>
        <v>Augusto Wilke</v>
      </c>
      <c r="C165" s="388">
        <f>'Credores Quirografarios '!G27</f>
        <v>7.723050909090909</v>
      </c>
    </row>
    <row r="166" spans="2:3">
      <c r="B166" s="379" t="str">
        <f>'Credores Quirografarios '!B28</f>
        <v xml:space="preserve">Auto Peças Procarro Ltda </v>
      </c>
      <c r="C166" s="388">
        <f>'Credores Quirografarios '!G28</f>
        <v>16.604559999999999</v>
      </c>
    </row>
    <row r="167" spans="2:3">
      <c r="B167" s="379" t="str">
        <f>'Credores Quirografarios '!B29</f>
        <v xml:space="preserve">Bardusch Arrendam. Texteis Ltda </v>
      </c>
      <c r="C167" s="388">
        <f>'Credores Quirografarios '!G29</f>
        <v>9.2492727272727269</v>
      </c>
    </row>
    <row r="168" spans="2:3">
      <c r="B168" s="379" t="str">
        <f>'Credores Quirografarios '!B30</f>
        <v>Baumhardt Irmãos S/A</v>
      </c>
      <c r="C168" s="388">
        <f>'Credores Quirografarios '!G30</f>
        <v>607.89610181818182</v>
      </c>
    </row>
    <row r="169" spans="2:3">
      <c r="B169" s="379" t="str">
        <f>'Credores Quirografarios '!B31</f>
        <v>Belpar Distr. de Cosméticos Ltda</v>
      </c>
      <c r="C169" s="388">
        <f>'Credores Quirografarios '!G31</f>
        <v>143.24421818181818</v>
      </c>
    </row>
    <row r="170" spans="2:3">
      <c r="B170" s="379" t="str">
        <f>'Credores Quirografarios '!B32</f>
        <v xml:space="preserve">Bem Forte Distr. de Prod. Ind. Ltda </v>
      </c>
      <c r="C170" s="388">
        <f>'Credores Quirografarios '!G32</f>
        <v>514.52073090909096</v>
      </c>
    </row>
    <row r="171" spans="2:3">
      <c r="B171" s="379" t="str">
        <f>'Credores Quirografarios '!B33</f>
        <v xml:space="preserve">Beralv Clorosul S/A Ind. Com. </v>
      </c>
      <c r="C171" s="388">
        <f>'Credores Quirografarios '!G33</f>
        <v>252.56217454545452</v>
      </c>
    </row>
    <row r="172" spans="2:3">
      <c r="B172" s="379" t="str">
        <f>'Credores Quirografarios '!B34</f>
        <v>Besa Borracha Esponja S/A</v>
      </c>
      <c r="C172" s="388">
        <f>'Credores Quirografarios '!G34</f>
        <v>53.050007272727271</v>
      </c>
    </row>
    <row r="173" spans="2:3">
      <c r="B173" s="379" t="str">
        <f>'Credores Quirografarios '!B35</f>
        <v xml:space="preserve">Boa Safra Com. Frut. Verd. e Cere. </v>
      </c>
      <c r="C173" s="388">
        <f>'Credores Quirografarios '!G35</f>
        <v>51.487010909090905</v>
      </c>
    </row>
    <row r="174" spans="2:3">
      <c r="B174" s="379" t="str">
        <f>'Credores Quirografarios '!B36</f>
        <v xml:space="preserve">Bradesco S/A </v>
      </c>
      <c r="C174" s="388">
        <f>'Credores Quirografarios '!G36</f>
        <v>14710.574545454545</v>
      </c>
    </row>
    <row r="175" spans="2:3">
      <c r="B175" s="379" t="str">
        <f>'Credores Quirografarios '!B37</f>
        <v xml:space="preserve">Bretzke Ind. Com. de Prod. Alim. Ltda </v>
      </c>
      <c r="C175" s="388">
        <f>'Credores Quirografarios '!G37</f>
        <v>232.73967636363636</v>
      </c>
    </row>
    <row r="176" spans="2:3">
      <c r="B176" s="379" t="str">
        <f>'Credores Quirografarios '!B38</f>
        <v>BRF Brasil Foods S/A</v>
      </c>
      <c r="C176" s="388">
        <f>'Credores Quirografarios '!G38</f>
        <v>2296.7987781818179</v>
      </c>
    </row>
    <row r="177" spans="2:3">
      <c r="B177" s="379" t="str">
        <f>'Credores Quirografarios '!B39</f>
        <v>Buschle Irmaos Ltda</v>
      </c>
      <c r="C177" s="388">
        <f>'Credores Quirografarios '!G39</f>
        <v>1287.5614218181818</v>
      </c>
    </row>
    <row r="178" spans="2:3">
      <c r="B178" s="379" t="str">
        <f>'Credores Quirografarios '!B40</f>
        <v>Café Damasco S/A</v>
      </c>
      <c r="C178" s="388">
        <f>'Credores Quirografarios '!G40</f>
        <v>1051.2728181818181</v>
      </c>
    </row>
    <row r="179" spans="2:3">
      <c r="B179" s="379" t="str">
        <f>'Credores Quirografarios '!B41</f>
        <v xml:space="preserve">Campeiro Prod. Alim. I. E C. Ltda </v>
      </c>
      <c r="C179" s="388">
        <f>'Credores Quirografarios '!G41</f>
        <v>352.59408363636362</v>
      </c>
    </row>
    <row r="180" spans="2:3">
      <c r="B180" s="379" t="str">
        <f>'Credores Quirografarios '!B42</f>
        <v xml:space="preserve">Carlos Stern e Cia Ltda </v>
      </c>
      <c r="C180" s="388">
        <f>'Credores Quirografarios '!G42</f>
        <v>1209.4114945454544</v>
      </c>
    </row>
    <row r="181" spans="2:3">
      <c r="B181" s="379" t="str">
        <f>'Credores Quirografarios '!B43</f>
        <v>Casa Do Panificador Ind. e Com. Ltda</v>
      </c>
      <c r="C181" s="388">
        <f>'Credores Quirografarios '!G43</f>
        <v>1318.8397818181818</v>
      </c>
    </row>
    <row r="182" spans="2:3">
      <c r="B182" s="379" t="str">
        <f>'Credores Quirografarios '!B44</f>
        <v>Casa Do Panificador Ind. e Com. Ltda</v>
      </c>
      <c r="C182" s="388">
        <f>'Credores Quirografarios '!G44</f>
        <v>1306.1335236363636</v>
      </c>
    </row>
    <row r="183" spans="2:3">
      <c r="B183" s="379" t="str">
        <f>'Credores Quirografarios '!B45</f>
        <v>Catarinense de Refrigerantes Ltda</v>
      </c>
      <c r="C183" s="388">
        <f>'Credores Quirografarios '!G45</f>
        <v>2457.6221345454546</v>
      </c>
    </row>
    <row r="184" spans="2:3">
      <c r="B184" s="379" t="str">
        <f>'Credores Quirografarios '!B46</f>
        <v xml:space="preserve">Cena Central Atac. Sec. Molhd. Ltda </v>
      </c>
      <c r="C184" s="388">
        <f>'Credores Quirografarios '!G46</f>
        <v>83.335403636363637</v>
      </c>
    </row>
    <row r="185" spans="2:3">
      <c r="B185" s="379" t="str">
        <f>'Credores Quirografarios '!B47</f>
        <v xml:space="preserve">Cerealista Urbano Ltda </v>
      </c>
      <c r="C185" s="388">
        <f>'Credores Quirografarios '!G47</f>
        <v>280.51226545454546</v>
      </c>
    </row>
    <row r="186" spans="2:3">
      <c r="B186" s="379" t="str">
        <f>'Credores Quirografarios '!B48</f>
        <v xml:space="preserve">Cerealista Urbano Ltda </v>
      </c>
      <c r="C186" s="388">
        <f>'Credores Quirografarios '!G48</f>
        <v>119.52341818181819</v>
      </c>
    </row>
    <row r="187" spans="2:3">
      <c r="B187" s="379" t="str">
        <f>'Credores Quirografarios '!B49</f>
        <v>Ceval Agrop. Industrial S/A</v>
      </c>
      <c r="C187" s="388">
        <f>'Credores Quirografarios '!G49</f>
        <v>672.27325454545451</v>
      </c>
    </row>
    <row r="188" spans="2:3">
      <c r="B188" s="379" t="str">
        <f>'Credores Quirografarios '!B50</f>
        <v>Chocolates Garoto S/A</v>
      </c>
      <c r="C188" s="388">
        <f>'Credores Quirografarios '!G50</f>
        <v>1376.9833272727271</v>
      </c>
    </row>
    <row r="189" spans="2:3">
      <c r="B189" s="379" t="str">
        <f>'Credores Quirografarios '!B51</f>
        <v xml:space="preserve">Cia Catarinense de Radio e Televisão </v>
      </c>
      <c r="C189" s="388">
        <f>'Credores Quirografarios '!G51</f>
        <v>590.26180363636365</v>
      </c>
    </row>
    <row r="190" spans="2:3">
      <c r="B190" s="379" t="str">
        <f>'Credores Quirografarios '!B52</f>
        <v xml:space="preserve">Cia Fiat Lux Fosf. de Seg. </v>
      </c>
      <c r="C190" s="388">
        <f>'Credores Quirografarios '!G52</f>
        <v>344.04356000000001</v>
      </c>
    </row>
    <row r="191" spans="2:3">
      <c r="B191" s="379" t="str">
        <f>'Credores Quirografarios '!B53</f>
        <v>Cia Ind. de Conservas Aliment. Cica</v>
      </c>
      <c r="C191" s="388">
        <f>'Credores Quirografarios '!G53</f>
        <v>84.659356363636363</v>
      </c>
    </row>
    <row r="192" spans="2:3">
      <c r="B192" s="379" t="str">
        <f>'Credores Quirografarios '!B54</f>
        <v>Cia Melhoramentos de São Paulo</v>
      </c>
      <c r="C192" s="388">
        <f>'Credores Quirografarios '!G54</f>
        <v>29.972792727272726</v>
      </c>
    </row>
    <row r="193" spans="2:3">
      <c r="B193" s="379" t="str">
        <f>'Credores Quirografarios '!B55</f>
        <v>CIA Mercantil e Ins. Parizotto</v>
      </c>
      <c r="C193" s="388">
        <f>'Credores Quirografarios '!G55</f>
        <v>4535.0494727272726</v>
      </c>
    </row>
    <row r="194" spans="2:3">
      <c r="B194" s="379" t="str">
        <f>'Credores Quirografarios '!B56</f>
        <v xml:space="preserve">Cia Wetzel Ind. </v>
      </c>
      <c r="C194" s="388">
        <f>'Credores Quirografarios '!G56</f>
        <v>131.76997090909092</v>
      </c>
    </row>
    <row r="195" spans="2:3">
      <c r="B195" s="379" t="str">
        <f>'Credores Quirografarios '!B57</f>
        <v xml:space="preserve">Cia. Ind. e Mercantil Paoletti </v>
      </c>
      <c r="C195" s="388">
        <f>'Credores Quirografarios '!G57</f>
        <v>192.72691272727272</v>
      </c>
    </row>
    <row r="196" spans="2:3">
      <c r="B196" s="379" t="str">
        <f>'Credores Quirografarios '!B58</f>
        <v xml:space="preserve">Cipla Ind. Produtos do Lar Ltda </v>
      </c>
      <c r="C196" s="388">
        <f>'Credores Quirografarios '!G58</f>
        <v>533.00089090909091</v>
      </c>
    </row>
    <row r="197" spans="2:3">
      <c r="B197" s="379" t="str">
        <f>'Credores Quirografarios '!B59</f>
        <v xml:space="preserve">Climapar Climat. Frutas Ltda </v>
      </c>
      <c r="C197" s="388">
        <f>'Credores Quirografarios '!G59</f>
        <v>305.7960654545455</v>
      </c>
    </row>
    <row r="198" spans="2:3">
      <c r="B198" s="379" t="str">
        <f>'Credores Quirografarios '!B60</f>
        <v>Cobra Comput. Sist. Brasileiros S/A</v>
      </c>
      <c r="C198" s="388">
        <f>'Credores Quirografarios '!G60</f>
        <v>2.2249709090909091</v>
      </c>
    </row>
    <row r="199" spans="2:3">
      <c r="B199" s="379" t="str">
        <f>'Credores Quirografarios '!B61</f>
        <v xml:space="preserve">Colgate Palmolive Ltda </v>
      </c>
      <c r="C199" s="388">
        <f>'Credores Quirografarios '!G61</f>
        <v>455.20033818181815</v>
      </c>
    </row>
    <row r="200" spans="2:3">
      <c r="B200" s="379" t="str">
        <f>'Credores Quirografarios '!B62</f>
        <v xml:space="preserve">Columbia Ind. Mat. de Limpeza Ltda </v>
      </c>
      <c r="C200" s="388">
        <f>'Credores Quirografarios '!G62</f>
        <v>174.5961309090909</v>
      </c>
    </row>
    <row r="201" spans="2:3">
      <c r="B201" s="379" t="str">
        <f>'Credores Quirografarios '!B63</f>
        <v xml:space="preserve">Com. de Bebidas Pagelkopd Ltda </v>
      </c>
      <c r="C201" s="388">
        <f>'Credores Quirografarios '!G63</f>
        <v>64.579421818181814</v>
      </c>
    </row>
    <row r="202" spans="2:3">
      <c r="B202" s="379" t="str">
        <f>'Credores Quirografarios '!B64</f>
        <v xml:space="preserve">Com. de Ferragens Milium Ltda </v>
      </c>
      <c r="C202" s="388">
        <f>'Credores Quirografarios '!G64</f>
        <v>2.8869490909090909</v>
      </c>
    </row>
    <row r="203" spans="2:3">
      <c r="B203" s="379" t="str">
        <f>'Credores Quirografarios '!B65</f>
        <v>Com. de Frutas e Verduras JIN Ltda</v>
      </c>
      <c r="C203" s="388">
        <f>'Credores Quirografarios '!G65</f>
        <v>1849.5789236363637</v>
      </c>
    </row>
    <row r="204" spans="2:3">
      <c r="B204" s="379" t="str">
        <f>'Credores Quirografarios '!B66</f>
        <v xml:space="preserve">Com. de Frutas Sul Bahia Ltda </v>
      </c>
      <c r="C204" s="388">
        <f>'Credores Quirografarios '!G66</f>
        <v>36.408669090909086</v>
      </c>
    </row>
    <row r="205" spans="2:3">
      <c r="B205" s="379" t="str">
        <f>'Credores Quirografarios '!B67</f>
        <v xml:space="preserve">Com. de Frutas Verd. Nipo Brasileira Ltda </v>
      </c>
      <c r="C205" s="388">
        <f>'Credores Quirografarios '!G67</f>
        <v>506.77929090909095</v>
      </c>
    </row>
    <row r="206" spans="2:3">
      <c r="B206" s="379" t="str">
        <f>'Credores Quirografarios '!B68</f>
        <v xml:space="preserve">Com. de Pescados Dejamar Ltda </v>
      </c>
      <c r="C206" s="388">
        <f>'Credores Quirografarios '!G68</f>
        <v>456.39557454545456</v>
      </c>
    </row>
    <row r="207" spans="2:3">
      <c r="B207" s="379" t="str">
        <f>'Credores Quirografarios '!B69</f>
        <v>Com. e Import. Benjamim S/A</v>
      </c>
      <c r="C207" s="388">
        <f>'Credores Quirografarios '!G69</f>
        <v>222.29648727272726</v>
      </c>
    </row>
    <row r="208" spans="2:3">
      <c r="B208" s="379" t="str">
        <f>'Credores Quirografarios '!B70</f>
        <v xml:space="preserve">Com. e Ind. Arthur Zindars Ltda </v>
      </c>
      <c r="C208" s="388">
        <f>'Credores Quirografarios '!G70</f>
        <v>197.78367272727272</v>
      </c>
    </row>
    <row r="209" spans="2:3">
      <c r="B209" s="379" t="str">
        <f>'Credores Quirografarios '!B71</f>
        <v>Com. e Ind. Germano Stein S/A</v>
      </c>
      <c r="C209" s="388">
        <f>'Credores Quirografarios '!G71</f>
        <v>369.52962909090911</v>
      </c>
    </row>
    <row r="210" spans="2:3">
      <c r="B210" s="379" t="str">
        <f>'Credores Quirografarios '!B72</f>
        <v>Com. e Ind. Germano Stein S/A</v>
      </c>
      <c r="C210" s="388">
        <f>'Credores Quirografarios '!G72</f>
        <v>331.04309090909089</v>
      </c>
    </row>
    <row r="211" spans="2:3">
      <c r="B211" s="379" t="str">
        <f>'Credores Quirografarios '!B73</f>
        <v xml:space="preserve">Com. e Repr. Nelson Ltda </v>
      </c>
      <c r="C211" s="388">
        <f>'Credores Quirografarios '!G73</f>
        <v>287.9043309090909</v>
      </c>
    </row>
    <row r="212" spans="2:3">
      <c r="B212" s="379" t="str">
        <f>'Credores Quirografarios '!B74</f>
        <v xml:space="preserve">Com. Frutas e Cereais Jurema Ltda </v>
      </c>
      <c r="C212" s="388">
        <f>'Credores Quirografarios '!G74</f>
        <v>61.048883636363634</v>
      </c>
    </row>
    <row r="213" spans="2:3">
      <c r="B213" s="379" t="str">
        <f>'Credores Quirografarios '!B75</f>
        <v>Com. Vinicola Rio Grandense</v>
      </c>
      <c r="C213" s="388">
        <f>'Credores Quirografarios '!G75</f>
        <v>34.238861818181817</v>
      </c>
    </row>
    <row r="214" spans="2:3">
      <c r="B214" s="379" t="str">
        <f>'Credores Quirografarios '!B76</f>
        <v xml:space="preserve">Comercial Cibrasil Ltda </v>
      </c>
      <c r="C214" s="388">
        <f>'Credores Quirografarios '!G76</f>
        <v>37.751010909090908</v>
      </c>
    </row>
    <row r="215" spans="2:3">
      <c r="B215" s="379" t="str">
        <f>'Credores Quirografarios '!B77</f>
        <v xml:space="preserve">Comercial Imporradora Reis Ltda </v>
      </c>
      <c r="C215" s="388">
        <f>'Credores Quirografarios '!G77</f>
        <v>1211.8203527272728</v>
      </c>
    </row>
    <row r="216" spans="2:3">
      <c r="B216" s="379" t="str">
        <f>'Credores Quirografarios '!B78</f>
        <v xml:space="preserve">Comercio de Bebidas Jaragua Ltda </v>
      </c>
      <c r="C216" s="388">
        <f>'Credores Quirografarios '!G78</f>
        <v>26.662916363636366</v>
      </c>
    </row>
    <row r="217" spans="2:3">
      <c r="B217" s="379" t="str">
        <f>'Credores Quirografarios '!B79</f>
        <v xml:space="preserve">Conde Com. e Imp. Ltda </v>
      </c>
      <c r="C217" s="388">
        <f>'Credores Quirografarios '!G79</f>
        <v>114.28277454545454</v>
      </c>
    </row>
    <row r="218" spans="2:3">
      <c r="B218" s="379" t="str">
        <f>'Credores Quirografarios '!B80</f>
        <v>Conservas Ritter S/A</v>
      </c>
      <c r="C218" s="388">
        <f>'Credores Quirografarios '!G80</f>
        <v>63.292243636363644</v>
      </c>
    </row>
    <row r="219" spans="2:3">
      <c r="B219" s="379" t="str">
        <f>'Credores Quirografarios '!B81</f>
        <v>Contaregis Eqptos de Controle S/A</v>
      </c>
      <c r="C219" s="388">
        <f>'Credores Quirografarios '!G81</f>
        <v>53.252276363636369</v>
      </c>
    </row>
    <row r="220" spans="2:3">
      <c r="B220" s="379" t="str">
        <f>'Credores Quirografarios '!B82</f>
        <v>Coop Cental Catarinense de Laticionios</v>
      </c>
      <c r="C220" s="388">
        <f>'Credores Quirografarios '!G82</f>
        <v>3034.6995854545457</v>
      </c>
    </row>
    <row r="221" spans="2:3">
      <c r="B221" s="379" t="str">
        <f>'Credores Quirografarios '!B83</f>
        <v>Coop Central Laticinios do Parana Ltda</v>
      </c>
      <c r="C221" s="388">
        <f>'Credores Quirografarios '!G83</f>
        <v>1326.8754327272727</v>
      </c>
    </row>
    <row r="222" spans="2:3">
      <c r="B222" s="379" t="str">
        <f>'Credores Quirografarios '!B84</f>
        <v xml:space="preserve">Coop. Agrícola Mista Juriti Ltda </v>
      </c>
      <c r="C222" s="388">
        <f>'Credores Quirografarios '!G84</f>
        <v>219.44499272727273</v>
      </c>
    </row>
    <row r="223" spans="2:3">
      <c r="B223" s="379" t="str">
        <f>'Credores Quirografarios '!B85</f>
        <v xml:space="preserve">Cooper-Disc Dist. e Repres. Ltda </v>
      </c>
      <c r="C223" s="388">
        <f>'Credores Quirografarios '!G85</f>
        <v>95.140640000000005</v>
      </c>
    </row>
    <row r="224" spans="2:3">
      <c r="B224" s="379" t="str">
        <f>'Credores Quirografarios '!B86</f>
        <v>Copa Cia de Papeis</v>
      </c>
      <c r="C224" s="388">
        <f>'Credores Quirografarios '!G86</f>
        <v>107.01942909090909</v>
      </c>
    </row>
    <row r="225" spans="2:3">
      <c r="B225" s="379" t="str">
        <f>'Credores Quirografarios '!B87</f>
        <v xml:space="preserve">Copapel Com. Repres. de Papel Ltda </v>
      </c>
      <c r="C225" s="388">
        <f>'Credores Quirografarios '!G87</f>
        <v>0.95618545454545467</v>
      </c>
    </row>
    <row r="226" spans="2:3">
      <c r="B226" s="379" t="str">
        <f>'Credores Quirografarios '!B88</f>
        <v xml:space="preserve">Cordel Ind. Com. De Fumos Ltda </v>
      </c>
      <c r="C226" s="388">
        <f>'Credores Quirografarios '!G88</f>
        <v>19.123745454545457</v>
      </c>
    </row>
    <row r="227" spans="2:3">
      <c r="B227" s="379" t="str">
        <f>'Credores Quirografarios '!B89</f>
        <v xml:space="preserve">Corning Brasil-Vidros Espec. Ltda </v>
      </c>
      <c r="C227" s="388">
        <f>'Credores Quirografarios '!G89</f>
        <v>226.98416363636363</v>
      </c>
    </row>
    <row r="228" spans="2:3">
      <c r="B228" s="379" t="str">
        <f>'Credores Quirografarios '!B90</f>
        <v>Coroa S/A Ind. Alimentares</v>
      </c>
      <c r="C228" s="388">
        <f>'Credores Quirografarios '!G90</f>
        <v>208.77982909090909</v>
      </c>
    </row>
    <row r="229" spans="2:3">
      <c r="B229" s="379" t="str">
        <f>'Credores Quirografarios '!B91</f>
        <v>Costa S/S Sabonetes e Perfumes</v>
      </c>
      <c r="C229" s="388">
        <f>'Credores Quirografarios '!G91</f>
        <v>32.639087272727274</v>
      </c>
    </row>
    <row r="230" spans="2:3">
      <c r="B230" s="379" t="str">
        <f>'Credores Quirografarios '!B92</f>
        <v>Cravil-Coop Reg. Agrop. Alto Vale Itajai</v>
      </c>
      <c r="C230" s="388">
        <f>'Credores Quirografarios '!G92</f>
        <v>2874.0785018181818</v>
      </c>
    </row>
    <row r="231" spans="2:3">
      <c r="B231" s="379" t="str">
        <f>'Credores Quirografarios '!B93</f>
        <v>Cricket da Amazônia S/A</v>
      </c>
      <c r="C231" s="388">
        <f>'Credores Quirografarios '!G93</f>
        <v>137.80130545454546</v>
      </c>
    </row>
    <row r="232" spans="2:3">
      <c r="B232" s="379" t="str">
        <f>'Credores Quirografarios '!B94</f>
        <v>CVG CIA. Volta Grande de Papel</v>
      </c>
      <c r="C232" s="388">
        <f>'Credores Quirografarios '!G94</f>
        <v>57.444792727272727</v>
      </c>
    </row>
    <row r="233" spans="2:3">
      <c r="B233" s="379" t="str">
        <f>'Credores Quirografarios '!B95</f>
        <v xml:space="preserve">Deycon Com. Repr. Ltda </v>
      </c>
      <c r="C233" s="388">
        <f>'Credores Quirografarios '!G95</f>
        <v>208.54078181818181</v>
      </c>
    </row>
    <row r="234" spans="2:3">
      <c r="B234" s="379" t="str">
        <f>'Credores Quirografarios '!B96</f>
        <v xml:space="preserve">Digebel Distr. Geral de Bebidas Ltda </v>
      </c>
      <c r="C234" s="388">
        <f>'Credores Quirografarios '!G96</f>
        <v>399.53920363636365</v>
      </c>
    </row>
    <row r="235" spans="2:3">
      <c r="B235" s="379" t="str">
        <f>'Credores Quirografarios '!B97</f>
        <v>Dipam Distr. de Produtos  A. Monteiro Ltda</v>
      </c>
      <c r="C235" s="388">
        <f>'Credores Quirografarios '!G97</f>
        <v>700.66466545454546</v>
      </c>
    </row>
    <row r="236" spans="2:3">
      <c r="B236" s="379" t="str">
        <f>'Credores Quirografarios '!B98</f>
        <v>Disk-Med Dist. de Medicamentos Ltda</v>
      </c>
      <c r="C236" s="388">
        <f>'Credores Quirografarios '!G98</f>
        <v>127.98199636363636</v>
      </c>
    </row>
    <row r="237" spans="2:3">
      <c r="B237" s="379" t="str">
        <f>'Credores Quirografarios '!B99</f>
        <v>Distilaria Doble W. Exp. Imp. Ltda</v>
      </c>
      <c r="C237" s="388">
        <f>'Credores Quirografarios '!G99</f>
        <v>48.636836363636363</v>
      </c>
    </row>
    <row r="238" spans="2:3">
      <c r="B238" s="379" t="str">
        <f>'Credores Quirografarios '!B100</f>
        <v xml:space="preserve">Distr. de Cocos Nortesul Ltda </v>
      </c>
      <c r="C238" s="388">
        <f>'Credores Quirografarios '!G100</f>
        <v>29.053381818181819</v>
      </c>
    </row>
    <row r="239" spans="2:3">
      <c r="B239" s="379" t="str">
        <f>'Credores Quirografarios '!B101</f>
        <v>Distr. Muller Com. e Represe. Ltda</v>
      </c>
      <c r="C239" s="388">
        <f>'Credores Quirografarios '!G101</f>
        <v>3262.2170109090907</v>
      </c>
    </row>
    <row r="240" spans="2:3">
      <c r="B240" s="379" t="str">
        <f>'Credores Quirografarios '!B102</f>
        <v xml:space="preserve">Distr. Rb de Generos Aliment. Ltda </v>
      </c>
      <c r="C240" s="388">
        <f>'Credores Quirografarios '!G102</f>
        <v>80.558781818181814</v>
      </c>
    </row>
    <row r="241" spans="2:3">
      <c r="B241" s="379" t="str">
        <f>'Credores Quirografarios '!B103</f>
        <v xml:space="preserve">Distr. Santa Catarina Ltda </v>
      </c>
      <c r="C241" s="388">
        <f>'Credores Quirografarios '!G103</f>
        <v>59.081341818181819</v>
      </c>
    </row>
    <row r="242" spans="2:3">
      <c r="B242" s="379" t="str">
        <f>'Credores Quirografarios '!B104</f>
        <v xml:space="preserve">Distr. Sul de Bebidas Ltda </v>
      </c>
      <c r="C242" s="388">
        <f>'Credores Quirografarios '!G104</f>
        <v>41.189607272727272</v>
      </c>
    </row>
    <row r="243" spans="2:3">
      <c r="B243" s="379" t="str">
        <f>'Credores Quirografarios '!B105</f>
        <v>Distri. de Bebidas Joinville Ltda</v>
      </c>
      <c r="C243" s="388">
        <f>'Credores Quirografarios '!G105</f>
        <v>5948.3679199999997</v>
      </c>
    </row>
    <row r="244" spans="2:3">
      <c r="B244" s="379" t="str">
        <f>'Credores Quirografarios '!B106</f>
        <v xml:space="preserve">Dixie Ind. Com. Ltda </v>
      </c>
      <c r="C244" s="388">
        <f>'Credores Quirografarios '!G106</f>
        <v>24.033400000000004</v>
      </c>
    </row>
    <row r="245" spans="2:3">
      <c r="B245" s="379" t="str">
        <f>'Credores Quirografarios '!B107</f>
        <v>Dixie-Lakelka S/A</v>
      </c>
      <c r="C245" s="388">
        <f>'Credores Quirografarios '!G107</f>
        <v>89.973549090909088</v>
      </c>
    </row>
    <row r="246" spans="2:3">
      <c r="B246" s="379" t="str">
        <f>'Credores Quirografarios '!B108</f>
        <v>Dorval Friedrich e Filho Ltda</v>
      </c>
      <c r="C246" s="388">
        <f>'Credores Quirografarios '!G108</f>
        <v>857.20356363636358</v>
      </c>
    </row>
    <row r="247" spans="2:3">
      <c r="B247" s="379" t="str">
        <f>'Credores Quirografarios '!B109</f>
        <v xml:space="preserve">Dovale Repr. Comerciais Ltda </v>
      </c>
      <c r="C247" s="388">
        <f>'Credores Quirografarios '!G109</f>
        <v>415.00369454545449</v>
      </c>
    </row>
    <row r="248" spans="2:3">
      <c r="B248" s="379" t="str">
        <f>'Credores Quirografarios '!B110</f>
        <v>Dunga Produtos Alimentícios Ltda</v>
      </c>
      <c r="C248" s="388">
        <f>'Credores Quirografarios '!G110</f>
        <v>133.71912</v>
      </c>
    </row>
    <row r="249" spans="2:3">
      <c r="B249" s="379" t="str">
        <f>'Credores Quirografarios '!B111</f>
        <v xml:space="preserve">Edmag Com. e Repres. Ltda </v>
      </c>
      <c r="C249" s="388">
        <f>'Credores Quirografarios '!G111</f>
        <v>997.65277454545446</v>
      </c>
    </row>
    <row r="250" spans="2:3">
      <c r="B250" s="379" t="str">
        <f>'Credores Quirografarios '!B112</f>
        <v xml:space="preserve">Effen Produtos Alimentícios Ltda </v>
      </c>
      <c r="C250" s="388">
        <f>'Credores Quirografarios '!G112</f>
        <v>164.5929381818182</v>
      </c>
    </row>
    <row r="251" spans="2:3">
      <c r="B251" s="379" t="str">
        <f>'Credores Quirografarios '!B113</f>
        <v xml:space="preserve">Eldorado Indust. Plastica Ltda </v>
      </c>
      <c r="C251" s="388">
        <f>'Credores Quirografarios '!G113</f>
        <v>11.25358909090909</v>
      </c>
    </row>
    <row r="252" spans="2:3">
      <c r="B252" s="379" t="str">
        <f>'Credores Quirografarios '!B114</f>
        <v xml:space="preserve">Embafest Com. de Artigos P/ Festas Ltda </v>
      </c>
      <c r="C252" s="388">
        <f>'Credores Quirografarios '!G114</f>
        <v>614.0745454545455</v>
      </c>
    </row>
    <row r="253" spans="2:3">
      <c r="B253" s="379" t="str">
        <f>'Credores Quirografarios '!B115</f>
        <v>Emilio Romani S/A Ind. Com.</v>
      </c>
      <c r="C253" s="388">
        <f>'Credores Quirografarios '!G115</f>
        <v>4484.9231890909086</v>
      </c>
    </row>
    <row r="254" spans="2:3">
      <c r="B254" s="379" t="str">
        <f>'Credores Quirografarios '!B116</f>
        <v>Engepasa Engenharia Pavimento S/A</v>
      </c>
      <c r="C254" s="388">
        <f>'Credores Quirografarios '!G116</f>
        <v>112.59105818181817</v>
      </c>
    </row>
    <row r="255" spans="2:3">
      <c r="B255" s="379" t="str">
        <f>'Credores Quirografarios '!B117</f>
        <v>Ervin Zils</v>
      </c>
      <c r="C255" s="388">
        <f>'Credores Quirografarios '!G117</f>
        <v>46.981894545454544</v>
      </c>
    </row>
    <row r="256" spans="2:3">
      <c r="B256" s="379" t="str">
        <f>'Credores Quirografarios '!B118</f>
        <v>Espabra Generos Alimenticios Ltda</v>
      </c>
      <c r="C256" s="388">
        <f>'Credores Quirografarios '!G118</f>
        <v>96.538145454545457</v>
      </c>
    </row>
    <row r="257" spans="2:3">
      <c r="B257" s="379" t="str">
        <f>'Credores Quirografarios '!B119</f>
        <v xml:space="preserve">Extrafruta Ind. de Aliment. Ltda </v>
      </c>
      <c r="C257" s="388">
        <f>'Credores Quirografarios '!G119</f>
        <v>330.98792727272729</v>
      </c>
    </row>
    <row r="258" spans="2:3">
      <c r="B258" s="379" t="str">
        <f>'Credores Quirografarios '!B120</f>
        <v xml:space="preserve">Florida Com. e Imp. Ltda </v>
      </c>
      <c r="C258" s="388">
        <f>'Credores Quirografarios '!G120</f>
        <v>9.194109090909091</v>
      </c>
    </row>
    <row r="259" spans="2:3">
      <c r="B259" s="379" t="str">
        <f>'Credores Quirografarios '!B121</f>
        <v xml:space="preserve">Formularios Ltda </v>
      </c>
      <c r="C259" s="388">
        <f>'Credores Quirografarios '!G121</f>
        <v>72.817341818181816</v>
      </c>
    </row>
    <row r="260" spans="2:3">
      <c r="B260" s="379" t="str">
        <f>'Credores Quirografarios '!B122</f>
        <v>Frangos Camboriú Com. e Abate Ltda</v>
      </c>
      <c r="C260" s="388">
        <f>'Credores Quirografarios '!G122</f>
        <v>2256.9698981818183</v>
      </c>
    </row>
    <row r="261" spans="2:3">
      <c r="B261" s="379" t="str">
        <f>'Credores Quirografarios '!B123</f>
        <v>Franzner Alimentos Ltda</v>
      </c>
      <c r="C261" s="388">
        <f>'Credores Quirografarios '!G123</f>
        <v>494.20174909090912</v>
      </c>
    </row>
    <row r="262" spans="2:3">
      <c r="B262" s="379" t="str">
        <f>'Credores Quirografarios '!B124</f>
        <v xml:space="preserve">Freitag Import. e Export. Ltda </v>
      </c>
      <c r="C262" s="388">
        <f>'Credores Quirografarios '!G124</f>
        <v>152.65898545454547</v>
      </c>
    </row>
    <row r="263" spans="2:3">
      <c r="B263" s="379" t="str">
        <f>'Credores Quirografarios '!B125</f>
        <v>Frigorifico Cemim Ltda</v>
      </c>
      <c r="C263" s="388">
        <f>'Credores Quirografarios '!G125</f>
        <v>13306.634087272729</v>
      </c>
    </row>
    <row r="264" spans="2:3">
      <c r="B264" s="379" t="str">
        <f>'Credores Quirografarios '!B126</f>
        <v xml:space="preserve">Frigorifico Gumz S/A </v>
      </c>
      <c r="C264" s="388">
        <f>'Credores Quirografarios '!G126</f>
        <v>802.33312363636355</v>
      </c>
    </row>
    <row r="265" spans="2:3">
      <c r="B265" s="379" t="str">
        <f>'Credores Quirografarios '!B127</f>
        <v xml:space="preserve">Fritex Ind. Alimenticias Lisboense Ltda </v>
      </c>
      <c r="C265" s="388">
        <f>'Credores Quirografarios '!G127</f>
        <v>428.77646909090913</v>
      </c>
    </row>
    <row r="266" spans="2:3">
      <c r="B266" s="379" t="str">
        <f>'Credores Quirografarios '!B128</f>
        <v xml:space="preserve">Fruvil Com. de Frutas Ltda </v>
      </c>
      <c r="C266" s="388">
        <f>'Credores Quirografarios '!G128</f>
        <v>11.03293090909091</v>
      </c>
    </row>
    <row r="267" spans="2:3">
      <c r="B267" s="379" t="str">
        <f>'Credores Quirografarios '!B129</f>
        <v xml:space="preserve">Galpão Ind. Com. de Alimentos Ltda </v>
      </c>
      <c r="C267" s="388">
        <f>'Credores Quirografarios '!G129</f>
        <v>15.078338181818182</v>
      </c>
    </row>
    <row r="268" spans="2:3">
      <c r="B268" s="379" t="str">
        <f>'Credores Quirografarios '!B130</f>
        <v>Garpe Com. E Repr. Ltda</v>
      </c>
      <c r="C268" s="388">
        <f>'Credores Quirografarios '!G130</f>
        <v>442.49408</v>
      </c>
    </row>
    <row r="269" spans="2:3">
      <c r="B269" s="379" t="str">
        <f>'Credores Quirografarios '!B131</f>
        <v xml:space="preserve">Gessy Lever Alimentos Ltda </v>
      </c>
      <c r="C269" s="388">
        <f>'Credores Quirografarios '!G131</f>
        <v>90.506807272727272</v>
      </c>
    </row>
    <row r="270" spans="2:3">
      <c r="B270" s="379" t="str">
        <f>'Credores Quirografarios '!B132</f>
        <v>Gloria Distr. de Produtos Alimentos Ltda</v>
      </c>
      <c r="C270" s="388">
        <f>'Credores Quirografarios '!G132</f>
        <v>3714.6958945454548</v>
      </c>
    </row>
    <row r="271" spans="2:3">
      <c r="B271" s="379" t="str">
        <f>'Credores Quirografarios '!B133</f>
        <v>Gonzalez e Cia Ltda</v>
      </c>
      <c r="C271" s="388">
        <f>'Credores Quirografarios '!G133</f>
        <v>58.235483636363632</v>
      </c>
    </row>
    <row r="272" spans="2:3">
      <c r="B272" s="379" t="str">
        <f>'Credores Quirografarios '!B134</f>
        <v>Gráfica Mapel Ltda</v>
      </c>
      <c r="C272" s="388">
        <f>'Credores Quirografarios '!G134</f>
        <v>140.35726909090909</v>
      </c>
    </row>
    <row r="273" spans="2:3">
      <c r="B273" s="379" t="str">
        <f>'Credores Quirografarios '!B135</f>
        <v>Guilherme Schramm</v>
      </c>
      <c r="C273" s="388">
        <f>'Credores Quirografarios '!G135</f>
        <v>30.340559999999996</v>
      </c>
    </row>
    <row r="274" spans="2:3">
      <c r="B274" s="379" t="str">
        <f>'Credores Quirografarios '!B136</f>
        <v>Gumz irmãos S/A Ind. Com. Agricultura</v>
      </c>
      <c r="C274" s="388">
        <f>'Credores Quirografarios '!G136</f>
        <v>3586.566789090909</v>
      </c>
    </row>
    <row r="275" spans="2:3">
      <c r="B275" s="379" t="str">
        <f>'Credores Quirografarios '!B137</f>
        <v xml:space="preserve">HDS Sistemas Ltda </v>
      </c>
      <c r="C275" s="388">
        <f>'Credores Quirografarios '!G137</f>
        <v>10.536447272727273</v>
      </c>
    </row>
    <row r="276" spans="2:3">
      <c r="B276" s="379" t="str">
        <f>'Credores Quirografarios '!B138</f>
        <v xml:space="preserve">Heublein do Brasil Com. e Ind. Ltda </v>
      </c>
      <c r="C276" s="388">
        <f>'Credores Quirografarios '!G138</f>
        <v>482.35973818181822</v>
      </c>
    </row>
    <row r="277" spans="2:3">
      <c r="B277" s="379" t="str">
        <f>'Credores Quirografarios '!B139</f>
        <v xml:space="preserve">Hfur Com. e Repres. Ltda </v>
      </c>
      <c r="C277" s="388">
        <f>'Credores Quirografarios '!G139</f>
        <v>266.62916363636361</v>
      </c>
    </row>
    <row r="278" spans="2:3">
      <c r="B278" s="379" t="str">
        <f>'Credores Quirografarios '!B140</f>
        <v>Hortifrutigrangeiros Trans. Herchen</v>
      </c>
      <c r="C278" s="388">
        <f>'Credores Quirografarios '!G140</f>
        <v>12.871752727272726</v>
      </c>
    </row>
    <row r="279" spans="2:3">
      <c r="B279" s="379" t="str">
        <f>'Credores Quirografarios '!B141</f>
        <v>Hortigranjeira Aguas Claras Ltda</v>
      </c>
      <c r="C279" s="388">
        <f>'Credores Quirografarios '!G141</f>
        <v>125.22376363636363</v>
      </c>
    </row>
    <row r="280" spans="2:3">
      <c r="B280" s="379" t="str">
        <f>'Credores Quirografarios '!B142</f>
        <v>Hortigranjeira Bedin Ltda</v>
      </c>
      <c r="C280" s="388">
        <f>'Credores Quirografarios '!G142</f>
        <v>122.64941454545455</v>
      </c>
    </row>
    <row r="281" spans="2:3">
      <c r="B281" s="379" t="str">
        <f>'Credores Quirografarios '!B143</f>
        <v xml:space="preserve">Hortigranjeira Mantenense Ltda </v>
      </c>
      <c r="C281" s="388">
        <f>'Credores Quirografarios '!G143</f>
        <v>36.960316363636359</v>
      </c>
    </row>
    <row r="282" spans="2:3">
      <c r="B282" s="379" t="str">
        <f>'Credores Quirografarios '!B144</f>
        <v xml:space="preserve">Hp. Com. Import. Export. Alimen. Ltda </v>
      </c>
      <c r="C282" s="388">
        <f>'Credores Quirografarios '!G144</f>
        <v>36.684494545454548</v>
      </c>
    </row>
    <row r="283" spans="2:3">
      <c r="B283" s="379" t="str">
        <f>'Credores Quirografarios '!B145</f>
        <v>Iema Ind. Conservas</v>
      </c>
      <c r="C283" s="388">
        <f>'Credores Quirografarios '!G145</f>
        <v>210.25088363636365</v>
      </c>
    </row>
    <row r="284" spans="2:3">
      <c r="B284" s="379" t="str">
        <f>'Credores Quirografarios '!B146</f>
        <v>Impulso Equipamentos e Serviços Ltda</v>
      </c>
      <c r="C284" s="388">
        <f>'Credores Quirografarios '!G146</f>
        <v>883.4619418181818</v>
      </c>
    </row>
    <row r="285" spans="2:3">
      <c r="B285" s="379" t="str">
        <f>'Credores Quirografarios '!B147</f>
        <v>Incasa Ind. Com. Catarinense</v>
      </c>
      <c r="C285" s="388">
        <f>'Credores Quirografarios '!G147</f>
        <v>41.299934545454548</v>
      </c>
    </row>
    <row r="286" spans="2:3">
      <c r="B286" s="379" t="str">
        <f>'Credores Quirografarios '!B148</f>
        <v xml:space="preserve">Incopan Ind. Com. e Panificação Ltda </v>
      </c>
      <c r="C286" s="388">
        <f>'Credores Quirografarios '!G148</f>
        <v>1092.4992036363637</v>
      </c>
    </row>
    <row r="287" spans="2:3">
      <c r="B287" s="379" t="str">
        <f>'Credores Quirografarios '!B149</f>
        <v xml:space="preserve">Incregel Ind. Com. Repr. Gerais Ltda </v>
      </c>
      <c r="C287" s="388">
        <f>'Credores Quirografarios '!G149</f>
        <v>755.88448363636371</v>
      </c>
    </row>
    <row r="288" spans="2:3">
      <c r="B288" s="379" t="str">
        <f>'Credores Quirografarios '!B150</f>
        <v>Ind. Aliment. Carlos Britto S/A</v>
      </c>
      <c r="C288" s="388">
        <f>'Credores Quirografarios '!G150</f>
        <v>241.54763272727271</v>
      </c>
    </row>
    <row r="289" spans="2:3">
      <c r="B289" s="379" t="str">
        <f>'Credores Quirografarios '!B151</f>
        <v>Ind. Chocolates Lacta S/A</v>
      </c>
      <c r="C289" s="388">
        <f>'Credores Quirografarios '!G151</f>
        <v>1226.0712218181818</v>
      </c>
    </row>
    <row r="290" spans="2:3">
      <c r="B290" s="379" t="str">
        <f>'Credores Quirografarios '!B152</f>
        <v xml:space="preserve">Ind. Com. Agricola Mathies Ltda </v>
      </c>
      <c r="C290" s="388">
        <f>'Credores Quirografarios '!G152</f>
        <v>437.25344000000001</v>
      </c>
    </row>
    <row r="291" spans="2:3">
      <c r="B291" s="379" t="str">
        <f>'Credores Quirografarios '!B153</f>
        <v xml:space="preserve">Ind. Com. Bebidas dos Tropicos Ltda </v>
      </c>
      <c r="C291" s="388">
        <f>'Credores Quirografarios '!G153</f>
        <v>91.885923636363643</v>
      </c>
    </row>
    <row r="292" spans="2:3">
      <c r="B292" s="379" t="str">
        <f>'Credores Quirografarios '!B154</f>
        <v xml:space="preserve">Ind. Com. de Bebidas Kreusch Ltda </v>
      </c>
      <c r="C292" s="388">
        <f>'Credores Quirografarios '!G154</f>
        <v>36.776436363636364</v>
      </c>
    </row>
    <row r="293" spans="2:3">
      <c r="B293" s="379" t="str">
        <f>'Credores Quirografarios '!B155</f>
        <v xml:space="preserve">Ind. Com. de Doces Carijos Ltda </v>
      </c>
      <c r="C293" s="388">
        <f>'Credores Quirografarios '!G155</f>
        <v>179.46900727272728</v>
      </c>
    </row>
    <row r="294" spans="2:3">
      <c r="B294" s="379" t="str">
        <f>'Credores Quirografarios '!B156</f>
        <v xml:space="preserve">Ind. Com. De Latici. Passold Ltda </v>
      </c>
      <c r="C294" s="388">
        <f>'Credores Quirografarios '!G156</f>
        <v>25.155080000000002</v>
      </c>
    </row>
    <row r="295" spans="2:3">
      <c r="B295" s="379" t="str">
        <f>'Credores Quirografarios '!B157</f>
        <v>Ind. Com. de Laticínios Chapeco Ltda</v>
      </c>
      <c r="C295" s="388">
        <f>'Credores Quirografarios '!G157</f>
        <v>3375.2861636363632</v>
      </c>
    </row>
    <row r="296" spans="2:3">
      <c r="B296" s="379" t="str">
        <f>'Credores Quirografarios '!B158</f>
        <v>Ind. Com. Polvilho Sevegnani Ltda</v>
      </c>
      <c r="C296" s="388">
        <f>'Credores Quirografarios '!G158</f>
        <v>104.79445454545454</v>
      </c>
    </row>
    <row r="297" spans="2:3">
      <c r="B297" s="379" t="str">
        <f>'Credores Quirografarios '!B159</f>
        <v xml:space="preserve">Ind. de Alimentos Massita Ltda </v>
      </c>
      <c r="C297" s="388">
        <f>'Credores Quirografarios '!G159</f>
        <v>619.83005818181812</v>
      </c>
    </row>
    <row r="298" spans="2:3">
      <c r="B298" s="379" t="str">
        <f>'Credores Quirografarios '!B160</f>
        <v xml:space="preserve">Ind. de Alimentos Massita Ltda </v>
      </c>
      <c r="C298" s="388">
        <f>'Credores Quirografarios '!G160</f>
        <v>14.54508</v>
      </c>
    </row>
    <row r="299" spans="2:3">
      <c r="B299" s="379" t="str">
        <f>'Credores Quirografarios '!B161</f>
        <v xml:space="preserve">Ind. de Bebidas Cardoso Ltda </v>
      </c>
      <c r="C299" s="388">
        <f>'Credores Quirografarios '!G161</f>
        <v>319.55045454545456</v>
      </c>
    </row>
    <row r="300" spans="2:3">
      <c r="B300" s="379" t="str">
        <f>'Credores Quirografarios '!B162</f>
        <v xml:space="preserve">Ind. de Embalagens Lages Ltda </v>
      </c>
      <c r="C300" s="388">
        <f>'Credores Quirografarios '!G162</f>
        <v>403.19845818181818</v>
      </c>
    </row>
    <row r="301" spans="2:3">
      <c r="B301" s="379" t="str">
        <f>'Credores Quirografarios '!B163</f>
        <v xml:space="preserve">Ind. Gessy Lever Ltda </v>
      </c>
      <c r="C301" s="388">
        <f>'Credores Quirografarios '!G163</f>
        <v>34.128530909090912</v>
      </c>
    </row>
    <row r="302" spans="2:3">
      <c r="B302" s="379" t="str">
        <f>'Credores Quirografarios '!B164</f>
        <v>Ind. Produtos Alimenticios Cory Ltda</v>
      </c>
      <c r="C302" s="388">
        <f>'Credores Quirografarios '!G164</f>
        <v>1847.5929963636365</v>
      </c>
    </row>
    <row r="303" spans="2:3">
      <c r="B303" s="379" t="str">
        <f>'Credores Quirografarios '!B165</f>
        <v>Industria de Doces Mario Nass ME.</v>
      </c>
      <c r="C303" s="388">
        <f>'Credores Quirografarios '!G165</f>
        <v>12.228163636363636</v>
      </c>
    </row>
    <row r="304" spans="2:3">
      <c r="B304" s="379" t="str">
        <f>'Credores Quirografarios '!B166</f>
        <v>Ingo Bittencourt</v>
      </c>
      <c r="C304" s="388">
        <f>'Credores Quirografarios '!G166</f>
        <v>26.589360000000003</v>
      </c>
    </row>
    <row r="305" spans="2:3">
      <c r="B305" s="379" t="str">
        <f>'Credores Quirografarios '!B167</f>
        <v xml:space="preserve">IOB Inf. Objet. Publ. Juridicas Ltda </v>
      </c>
      <c r="C305" s="388">
        <f>'Credores Quirografarios '!G167</f>
        <v>17.597523636363636</v>
      </c>
    </row>
    <row r="306" spans="2:3">
      <c r="B306" s="379" t="str">
        <f>'Credores Quirografarios '!B168</f>
        <v xml:space="preserve">Irmaos Braziliano Ltda </v>
      </c>
      <c r="C306" s="388">
        <f>'Credores Quirografarios '!G168</f>
        <v>40.086312727272727</v>
      </c>
    </row>
    <row r="307" spans="2:3">
      <c r="B307" s="379" t="str">
        <f>'Credores Quirografarios '!B169</f>
        <v xml:space="preserve">Irmãos Carboni Ltda </v>
      </c>
      <c r="C307" s="388">
        <f>'Credores Quirografarios '!G169</f>
        <v>18.388218181818182</v>
      </c>
    </row>
    <row r="308" spans="2:3">
      <c r="B308" s="379" t="str">
        <f>'Credores Quirografarios '!B170</f>
        <v xml:space="preserve">Irmaos Molon Ltda </v>
      </c>
      <c r="C308" s="388">
        <f>'Credores Quirografarios '!G170</f>
        <v>43.561687272727269</v>
      </c>
    </row>
    <row r="309" spans="2:3">
      <c r="B309" s="379" t="str">
        <f>'Credores Quirografarios '!B171</f>
        <v>Isabela S/A Prod. Alimentícios</v>
      </c>
      <c r="C309" s="388">
        <f>'Credores Quirografarios '!G171</f>
        <v>350.01973090909092</v>
      </c>
    </row>
    <row r="310" spans="2:3">
      <c r="B310" s="379" t="str">
        <f>'Credores Quirografarios '!B172</f>
        <v xml:space="preserve">Jasicafe Ind. Com. Café Ltda </v>
      </c>
      <c r="C310" s="388">
        <f>'Credores Quirografarios '!G172</f>
        <v>252.83836363636362</v>
      </c>
    </row>
    <row r="311" spans="2:3">
      <c r="B311" s="379" t="str">
        <f>'Credores Quirografarios '!B173</f>
        <v xml:space="preserve">João Haupt e Cia Ltda </v>
      </c>
      <c r="C311" s="388">
        <f>'Credores Quirografarios '!G173</f>
        <v>151.75796363636366</v>
      </c>
    </row>
    <row r="312" spans="2:3">
      <c r="B312" s="379" t="str">
        <f>'Credores Quirografarios '!B174</f>
        <v xml:space="preserve">Johmar Com. Repr. Ltda </v>
      </c>
      <c r="C312" s="388">
        <f>'Credores Quirografarios '!G174</f>
        <v>247.24797818181816</v>
      </c>
    </row>
    <row r="313" spans="2:3">
      <c r="B313" s="379" t="str">
        <f>'Credores Quirografarios '!B175</f>
        <v>Johnson e Johnson S/A</v>
      </c>
      <c r="C313" s="388">
        <f>'Credores Quirografarios '!G175</f>
        <v>1258.0483345454545</v>
      </c>
    </row>
    <row r="314" spans="2:3">
      <c r="B314" s="379" t="str">
        <f>'Credores Quirografarios '!B176</f>
        <v>Johnson e Johnson S/A</v>
      </c>
      <c r="C314" s="388">
        <f>'Credores Quirografarios '!G176</f>
        <v>408.12650181818179</v>
      </c>
    </row>
    <row r="315" spans="2:3">
      <c r="B315" s="379" t="str">
        <f>'Credores Quirografarios '!B177</f>
        <v>Jorgina Madrid Chaves</v>
      </c>
      <c r="C315" s="388">
        <f>'Credores Quirografarios '!G177</f>
        <v>50.530821818181821</v>
      </c>
    </row>
    <row r="316" spans="2:3">
      <c r="B316" s="379" t="str">
        <f>'Credores Quirografarios '!B178</f>
        <v>Jose Kienen</v>
      </c>
      <c r="C316" s="388">
        <f>'Credores Quirografarios '!G178</f>
        <v>150.67305818181816</v>
      </c>
    </row>
    <row r="317" spans="2:3">
      <c r="B317" s="379" t="str">
        <f>'Credores Quirografarios '!B179</f>
        <v>Jose Lindolfo dos Passos</v>
      </c>
      <c r="C317" s="388">
        <f>'Credores Quirografarios '!G179</f>
        <v>79.823254545454546</v>
      </c>
    </row>
    <row r="318" spans="2:3">
      <c r="B318" s="379" t="str">
        <f>'Credores Quirografarios '!B180</f>
        <v xml:space="preserve">Kaminski Distr. Universal Ltda </v>
      </c>
      <c r="C318" s="388">
        <f>'Credores Quirografarios '!G180</f>
        <v>541.68013090909096</v>
      </c>
    </row>
    <row r="319" spans="2:3">
      <c r="B319" s="379" t="str">
        <f>'Credores Quirografarios '!B181</f>
        <v xml:space="preserve">KC do Brasil Ltda </v>
      </c>
      <c r="C319" s="388">
        <f>'Credores Quirografarios '!G181</f>
        <v>528.44061090909088</v>
      </c>
    </row>
    <row r="320" spans="2:3">
      <c r="B320" s="379" t="str">
        <f>'Credores Quirografarios '!B182</f>
        <v xml:space="preserve">Klimaco Mat. Farm e Hosp. Ltda </v>
      </c>
      <c r="C320" s="388">
        <f>'Credores Quirografarios '!G182</f>
        <v>18.149170909090909</v>
      </c>
    </row>
    <row r="321" spans="2:3">
      <c r="B321" s="379" t="str">
        <f>'Credores Quirografarios '!B183</f>
        <v xml:space="preserve">La Violeterea Ind. Com. Generos Alim. Ltda </v>
      </c>
      <c r="C321" s="388">
        <f>'Credores Quirografarios '!G183</f>
        <v>537.37728727272724</v>
      </c>
    </row>
    <row r="322" spans="2:3">
      <c r="B322" s="379" t="str">
        <f>'Credores Quirografarios '!B184</f>
        <v>Lacesa S/S Ind. de Alimentos</v>
      </c>
      <c r="C322" s="388">
        <f>'Credores Quirografarios '!G184</f>
        <v>4930.3410000000003</v>
      </c>
    </row>
    <row r="323" spans="2:3">
      <c r="B323" s="379" t="str">
        <f>'Credores Quirografarios '!B185</f>
        <v>Laticinio Globo Ltda</v>
      </c>
      <c r="C323" s="388">
        <f>'Credores Quirografarios '!G185</f>
        <v>1602.4412727272727</v>
      </c>
    </row>
    <row r="324" spans="2:3">
      <c r="B324" s="379" t="str">
        <f>'Credores Quirografarios '!B186</f>
        <v>Laticinios Lacador Ltda</v>
      </c>
      <c r="C324" s="388">
        <f>'Credores Quirografarios '!G186</f>
        <v>1515.483389090909</v>
      </c>
    </row>
    <row r="325" spans="2:3">
      <c r="B325" s="379" t="str">
        <f>'Credores Quirografarios '!B187</f>
        <v>Laticinios Tirol Ltda</v>
      </c>
      <c r="C325" s="388">
        <f>'Credores Quirografarios '!G187</f>
        <v>2085.1320000000001</v>
      </c>
    </row>
    <row r="326" spans="2:3">
      <c r="B326" s="379" t="str">
        <f>'Credores Quirografarios '!B188</f>
        <v>Lensana S/A</v>
      </c>
      <c r="C326" s="388">
        <f>'Credores Quirografarios '!G188</f>
        <v>140.19177454545454</v>
      </c>
    </row>
    <row r="327" spans="2:3">
      <c r="B327" s="379" t="str">
        <f>'Credores Quirografarios '!B189</f>
        <v xml:space="preserve">Librizzi e Cia Ltda </v>
      </c>
      <c r="C327" s="388">
        <f>'Credores Quirografarios '!G189</f>
        <v>93.614418181818181</v>
      </c>
    </row>
    <row r="328" spans="2:3">
      <c r="B328" s="379" t="str">
        <f>'Credores Quirografarios '!B190</f>
        <v xml:space="preserve">Lider Com. Prod. Alimenticios Ltda </v>
      </c>
      <c r="C328" s="388">
        <f>'Credores Quirografarios '!G190</f>
        <v>23.904683636363639</v>
      </c>
    </row>
    <row r="329" spans="2:3">
      <c r="B329" s="379" t="str">
        <f>'Credores Quirografarios '!B191</f>
        <v>LPC Ind. Alimenticias S/A</v>
      </c>
      <c r="C329" s="388">
        <f>'Credores Quirografarios '!G191</f>
        <v>698.88100727272729</v>
      </c>
    </row>
    <row r="330" spans="2:3">
      <c r="B330" s="379" t="str">
        <f>'Credores Quirografarios '!B192</f>
        <v>Luiz Kienen Bebidas Ltda</v>
      </c>
      <c r="C330" s="388">
        <f>'Credores Quirografarios '!G192</f>
        <v>121.25190909090909</v>
      </c>
    </row>
    <row r="331" spans="2:3">
      <c r="B331" s="379" t="str">
        <f>'Credores Quirografarios '!B193</f>
        <v xml:space="preserve">Lukisa Distr. de Bebidas Ltda </v>
      </c>
      <c r="C331" s="388">
        <f>'Credores Quirografarios '!G193</f>
        <v>45.823436363636361</v>
      </c>
    </row>
    <row r="332" spans="2:3">
      <c r="B332" s="379" t="str">
        <f>'Credores Quirografarios '!B194</f>
        <v xml:space="preserve">Luminar Com. Ind. Ltda </v>
      </c>
      <c r="C332" s="388">
        <f>'Credores Quirografarios '!G194</f>
        <v>438.08090909090907</v>
      </c>
    </row>
    <row r="333" spans="2:3">
      <c r="B333" s="379" t="str">
        <f>'Credores Quirografarios '!B195</f>
        <v xml:space="preserve">Lunardon e Cia Ltda </v>
      </c>
      <c r="C333" s="388">
        <f>'Credores Quirografarios '!G195</f>
        <v>365.88876363636365</v>
      </c>
    </row>
    <row r="334" spans="2:3">
      <c r="B334" s="379" t="str">
        <f>'Credores Quirografarios '!B196</f>
        <v xml:space="preserve">Mabispa Alimentos Ltda </v>
      </c>
      <c r="C334" s="388">
        <f>'Credores Quirografarios '!G196</f>
        <v>60.313352727272729</v>
      </c>
    </row>
    <row r="335" spans="2:3">
      <c r="B335" s="379" t="str">
        <f>'Credores Quirografarios '!B197</f>
        <v xml:space="preserve">Maison Forestier Emp. Vinhos Ltda </v>
      </c>
      <c r="C335" s="388">
        <f>'Credores Quirografarios '!G197</f>
        <v>30.101512727272727</v>
      </c>
    </row>
    <row r="336" spans="2:3">
      <c r="B336" s="379" t="str">
        <f>'Credores Quirografarios '!B198</f>
        <v>Manoel F. da Costa S/A</v>
      </c>
      <c r="C336" s="388">
        <f>'Credores Quirografarios '!G198</f>
        <v>113.38175272727273</v>
      </c>
    </row>
    <row r="337" spans="2:3">
      <c r="B337" s="379" t="str">
        <f>'Credores Quirografarios '!B199</f>
        <v xml:space="preserve">Manoel P. Almeida S.A Ind e Com. </v>
      </c>
      <c r="C337" s="388">
        <f>'Credores Quirografarios '!G199</f>
        <v>50.14466909090909</v>
      </c>
    </row>
    <row r="338" spans="2:3">
      <c r="B338" s="379" t="str">
        <f>'Credores Quirografarios '!B200</f>
        <v xml:space="preserve">Manoela Ind. de Massas Ltda </v>
      </c>
      <c r="C338" s="388">
        <f>'Credores Quirografarios '!G200</f>
        <v>307.50617090909088</v>
      </c>
    </row>
    <row r="339" spans="2:3">
      <c r="B339" s="379" t="str">
        <f>'Credores Quirografarios '!B201</f>
        <v>Marajo Ind. Benf. Pedras Mat. Cons. Ltda</v>
      </c>
      <c r="C339" s="388">
        <f>'Credores Quirografarios '!G201</f>
        <v>18.44338181818182</v>
      </c>
    </row>
    <row r="340" spans="2:3">
      <c r="B340" s="379" t="str">
        <f>'Credores Quirografarios '!B202</f>
        <v>Marcenaria Ravache Ltda</v>
      </c>
      <c r="C340" s="388">
        <f>'Credores Quirografarios '!G202</f>
        <v>3.4753709090909091</v>
      </c>
    </row>
    <row r="341" spans="2:3">
      <c r="B341" s="379" t="str">
        <f>'Credores Quirografarios '!B203</f>
        <v xml:space="preserve">Mark Alimentos Ltda </v>
      </c>
      <c r="C341" s="388">
        <f>'Credores Quirografarios '!G203</f>
        <v>219.86792363636366</v>
      </c>
    </row>
    <row r="342" spans="2:3">
      <c r="B342" s="379" t="str">
        <f>'Credores Quirografarios '!B204</f>
        <v xml:space="preserve">Martini e Rossi Ltda </v>
      </c>
      <c r="C342" s="388">
        <f>'Credores Quirografarios '!G204</f>
        <v>86.406236363636367</v>
      </c>
    </row>
    <row r="343" spans="2:3">
      <c r="B343" s="379" t="str">
        <f>'Credores Quirografarios '!B205</f>
        <v xml:space="preserve">MCI Informática Ltda </v>
      </c>
      <c r="C343" s="388">
        <f>'Credores Quirografarios '!G205</f>
        <v>250.37397818181816</v>
      </c>
    </row>
    <row r="344" spans="2:3">
      <c r="B344" s="379" t="str">
        <f>'Credores Quirografarios '!B206</f>
        <v xml:space="preserve">Mecanica de Automoveis Anita Ltda </v>
      </c>
      <c r="C344" s="388">
        <f>'Credores Quirografarios '!G206</f>
        <v>12.503985454545454</v>
      </c>
    </row>
    <row r="345" spans="2:3">
      <c r="B345" s="379" t="str">
        <f>'Credores Quirografarios '!B207</f>
        <v xml:space="preserve">Melitta do Brasil Ind. Com. Ltda </v>
      </c>
      <c r="C345" s="388">
        <f>'Credores Quirografarios '!G207</f>
        <v>226.1934690909091</v>
      </c>
    </row>
    <row r="346" spans="2:3">
      <c r="B346" s="379" t="str">
        <f>'Credores Quirografarios '!B208</f>
        <v>Metalgrafica Trivisan S/A</v>
      </c>
      <c r="C346" s="388">
        <f>'Credores Quirografarios '!G208</f>
        <v>86.203963636363639</v>
      </c>
    </row>
    <row r="347" spans="2:3">
      <c r="B347" s="379" t="str">
        <f>'Credores Quirografarios '!B209</f>
        <v>Metalurgica Backer Ind. Com. Ltda</v>
      </c>
      <c r="C347" s="388">
        <f>'Credores Quirografarios '!G209</f>
        <v>93.908629090909088</v>
      </c>
    </row>
    <row r="348" spans="2:3">
      <c r="B348" s="379" t="str">
        <f>'Credores Quirografarios '!B210</f>
        <v xml:space="preserve">Metalurgica Caliano Ltda </v>
      </c>
      <c r="C348" s="388">
        <f>'Credores Quirografarios '!G210</f>
        <v>46.522189090909094</v>
      </c>
    </row>
    <row r="349" spans="2:3">
      <c r="B349" s="379" t="str">
        <f>'Credores Quirografarios '!B211</f>
        <v xml:space="preserve">Microlite do Norte Ind. Com. Ltda </v>
      </c>
      <c r="C349" s="388">
        <f>'Credores Quirografarios '!G211</f>
        <v>26.71808</v>
      </c>
    </row>
    <row r="350" spans="2:3">
      <c r="B350" s="379" t="str">
        <f>'Credores Quirografarios '!B212</f>
        <v>Milton Jose Borguetti e Cia Ltda</v>
      </c>
      <c r="C350" s="388">
        <f>'Credores Quirografarios '!G212</f>
        <v>1743.5708472727274</v>
      </c>
    </row>
    <row r="351" spans="2:3">
      <c r="B351" s="379" t="str">
        <f>'Credores Quirografarios '!B213</f>
        <v xml:space="preserve">Moinho Carlos Guth Ltda </v>
      </c>
      <c r="C351" s="388">
        <f>'Credores Quirografarios '!G213</f>
        <v>170.01746181818183</v>
      </c>
    </row>
    <row r="352" spans="2:3">
      <c r="B352" s="379" t="str">
        <f>'Credores Quirografarios '!B214</f>
        <v>Moinhos Unidos do Brasil Mate S/A</v>
      </c>
      <c r="C352" s="388">
        <f>'Credores Quirografarios '!G214</f>
        <v>96.354261818181811</v>
      </c>
    </row>
    <row r="353" spans="2:3">
      <c r="B353" s="379" t="str">
        <f>'Credores Quirografarios '!B215</f>
        <v xml:space="preserve">Multibom Distr. de Prod. Aliment. Ltda </v>
      </c>
      <c r="C353" s="388">
        <f>'Credores Quirografarios '!G215</f>
        <v>780.87407272727285</v>
      </c>
    </row>
    <row r="354" spans="2:3">
      <c r="B354" s="379" t="str">
        <f>'Credores Quirografarios '!B216</f>
        <v>Multividro Ind. Com. S/A</v>
      </c>
      <c r="C354" s="388">
        <f>'Credores Quirografarios '!G216</f>
        <v>97.770152727272716</v>
      </c>
    </row>
    <row r="355" spans="2:3">
      <c r="B355" s="379" t="str">
        <f>'Credores Quirografarios '!B217</f>
        <v>Nestle Ind. Com. Ltda</v>
      </c>
      <c r="C355" s="388">
        <f>'Credores Quirografarios '!G217</f>
        <v>1213.49368</v>
      </c>
    </row>
    <row r="356" spans="2:3">
      <c r="B356" s="379" t="str">
        <f>'Credores Quirografarios '!B218</f>
        <v xml:space="preserve">Niposul Com. e Repr. De Prod. Alim. Ltda </v>
      </c>
      <c r="C356" s="388">
        <f>'Credores Quirografarios '!G218</f>
        <v>417.92742181818181</v>
      </c>
    </row>
    <row r="357" spans="2:3">
      <c r="B357" s="379" t="str">
        <f>'Credores Quirografarios '!B219</f>
        <v xml:space="preserve">Norte Alimentos Ltda </v>
      </c>
      <c r="C357" s="388">
        <f>'Credores Quirografarios '!G219</f>
        <v>424.17941454545451</v>
      </c>
    </row>
    <row r="358" spans="2:3">
      <c r="B358" s="379" t="str">
        <f>'Credores Quirografarios '!B220</f>
        <v xml:space="preserve">Nova Filozam Com. Imp. Exp. Ltda </v>
      </c>
      <c r="C358" s="388">
        <f>'Credores Quirografarios '!G220</f>
        <v>79.161276363636361</v>
      </c>
    </row>
    <row r="359" spans="2:3">
      <c r="B359" s="379" t="str">
        <f>'Credores Quirografarios '!B221</f>
        <v>Olvebra Ind. S/A</v>
      </c>
      <c r="C359" s="388">
        <f>'Credores Quirografarios '!G221</f>
        <v>448.63574545454549</v>
      </c>
    </row>
    <row r="360" spans="2:3">
      <c r="B360" s="379" t="str">
        <f>'Credores Quirografarios '!B222</f>
        <v>Orniex S/A</v>
      </c>
      <c r="C360" s="388">
        <f>'Credores Quirografarios '!G222</f>
        <v>777.08609818181822</v>
      </c>
    </row>
    <row r="361" spans="2:3">
      <c r="B361" s="379" t="str">
        <f>'Credores Quirografarios '!B223</f>
        <v>Osati Representações Com. Ltda</v>
      </c>
      <c r="C361" s="388">
        <f>'Credores Quirografarios '!G223</f>
        <v>118.80627636363637</v>
      </c>
    </row>
    <row r="362" spans="2:3">
      <c r="B362" s="379" t="str">
        <f>'Credores Quirografarios '!B224</f>
        <v>Otel Organiza. Tec. E Comercial S/A</v>
      </c>
      <c r="C362" s="388">
        <f>'Credores Quirografarios '!G224</f>
        <v>7.484003636363636</v>
      </c>
    </row>
    <row r="363" spans="2:3">
      <c r="B363" s="379" t="str">
        <f>'Credores Quirografarios '!B225</f>
        <v>Pamal Com. de Alimentos Ltda</v>
      </c>
      <c r="C363" s="388">
        <f>'Credores Quirografarios '!G225</f>
        <v>3701.107</v>
      </c>
    </row>
    <row r="364" spans="2:3">
      <c r="B364" s="379" t="str">
        <f>'Credores Quirografarios '!B226</f>
        <v>Pamplona Frigorifico Riosulense S/A</v>
      </c>
      <c r="C364" s="388">
        <f>'Credores Quirografarios '!G226</f>
        <v>678.96656727272727</v>
      </c>
    </row>
    <row r="365" spans="2:3">
      <c r="B365" s="379" t="str">
        <f>'Credores Quirografarios '!B227</f>
        <v>Pamplona Frigorifico Riosulense S/A</v>
      </c>
      <c r="C365" s="388">
        <f>'Credores Quirografarios '!G227</f>
        <v>458.47344363636364</v>
      </c>
    </row>
    <row r="366" spans="2:3">
      <c r="B366" s="379" t="str">
        <f>'Credores Quirografarios '!B228</f>
        <v xml:space="preserve">Panex S/A Ind. Com. </v>
      </c>
      <c r="C366" s="388">
        <f>'Credores Quirografarios '!G228</f>
        <v>385.63770909090908</v>
      </c>
    </row>
    <row r="367" spans="2:3">
      <c r="B367" s="379" t="str">
        <f>'Credores Quirografarios '!B229</f>
        <v xml:space="preserve">Papelaria Cruzeiro Ltda </v>
      </c>
      <c r="C367" s="388">
        <f>'Credores Quirografarios '!G229</f>
        <v>19.123745454545457</v>
      </c>
    </row>
    <row r="368" spans="2:3">
      <c r="B368" s="379" t="str">
        <f>'Credores Quirografarios '!B230</f>
        <v>Pasbona-Cia Canoinhas de Papel</v>
      </c>
      <c r="C368" s="388">
        <f>'Credores Quirografarios '!G230</f>
        <v>81.312698181818192</v>
      </c>
    </row>
    <row r="369" spans="2:3">
      <c r="B369" s="379" t="str">
        <f>'Credores Quirografarios '!B231</f>
        <v>Pastificio Fio de Ouro Ltda</v>
      </c>
      <c r="C369" s="388">
        <f>'Credores Quirografarios '!G231</f>
        <v>101.09842181818181</v>
      </c>
    </row>
    <row r="370" spans="2:3">
      <c r="B370" s="379" t="str">
        <f>'Credores Quirografarios '!B232</f>
        <v>Paz e Iazzetti Cia Ltda</v>
      </c>
      <c r="C370" s="388">
        <f>'Credores Quirografarios '!G232</f>
        <v>52.428240000000002</v>
      </c>
    </row>
    <row r="371" spans="2:3">
      <c r="B371" s="379" t="str">
        <f>'Credores Quirografarios '!B233</f>
        <v>Pedro Custodio dos Santos</v>
      </c>
      <c r="C371" s="388">
        <f>'Credores Quirografarios '!G233</f>
        <v>147.65738909090911</v>
      </c>
    </row>
    <row r="372" spans="2:3">
      <c r="B372" s="379" t="str">
        <f>'Credores Quirografarios '!B234</f>
        <v xml:space="preserve">Pelforte Com. e Ind. de Papeis Ltda </v>
      </c>
      <c r="C372" s="388">
        <f>'Credores Quirografarios '!G234</f>
        <v>1179.4570872727274</v>
      </c>
    </row>
    <row r="373" spans="2:3">
      <c r="B373" s="379" t="str">
        <f>'Credores Quirografarios '!B235</f>
        <v>Pepsico e Cia</v>
      </c>
      <c r="C373" s="388">
        <f>'Credores Quirografarios '!G235</f>
        <v>2896.2730799999999</v>
      </c>
    </row>
    <row r="374" spans="2:3">
      <c r="B374" s="379" t="str">
        <f>'Credores Quirografarios '!B236</f>
        <v>Petybon S/A</v>
      </c>
      <c r="C374" s="388">
        <f>'Credores Quirografarios '!G236</f>
        <v>450.14357818181821</v>
      </c>
    </row>
    <row r="375" spans="2:3">
      <c r="B375" s="379" t="str">
        <f>'Credores Quirografarios '!B237</f>
        <v>Plasticom Plasticos Ind. e Com. Ltda</v>
      </c>
      <c r="C375" s="388">
        <f>'Credores Quirografarios '!G237</f>
        <v>782.69450545454549</v>
      </c>
    </row>
    <row r="376" spans="2:3">
      <c r="B376" s="379" t="str">
        <f>'Credores Quirografarios '!B238</f>
        <v xml:space="preserve">Plásticos Suzuki Ltda </v>
      </c>
      <c r="C376" s="388">
        <f>'Credores Quirografarios '!G238</f>
        <v>281.45006545454549</v>
      </c>
    </row>
    <row r="377" spans="2:3">
      <c r="B377" s="379" t="str">
        <f>'Credores Quirografarios '!B239</f>
        <v>Plasvale Ind. Plast. do Vale Ltda</v>
      </c>
      <c r="C377" s="388">
        <f>'Credores Quirografarios '!G239</f>
        <v>195.19093454545452</v>
      </c>
    </row>
    <row r="378" spans="2:3">
      <c r="B378" s="379" t="str">
        <f>'Credores Quirografarios '!B240</f>
        <v>Popasa Potinga Papeis S/A</v>
      </c>
      <c r="C378" s="388">
        <f>'Credores Quirografarios '!G240</f>
        <v>240.64661090909092</v>
      </c>
    </row>
    <row r="379" spans="2:3">
      <c r="B379" s="379" t="str">
        <f>'Credores Quirografarios '!B241</f>
        <v>Pratel De L. D. da Costa</v>
      </c>
      <c r="C379" s="388">
        <f>'Credores Quirografarios '!G241</f>
        <v>50.585985454545451</v>
      </c>
    </row>
    <row r="380" spans="2:3">
      <c r="B380" s="379" t="str">
        <f>'Credores Quirografarios '!B242</f>
        <v>Pro Higiene Trambrands S/A</v>
      </c>
      <c r="C380" s="388">
        <f>'Credores Quirografarios '!G242</f>
        <v>36.077683636363638</v>
      </c>
    </row>
    <row r="381" spans="2:3">
      <c r="B381" s="379" t="str">
        <f>'Credores Quirografarios '!B243</f>
        <v xml:space="preserve">Prod. Aliment. Fleischmann e Royal Ltda </v>
      </c>
      <c r="C381" s="388">
        <f>'Credores Quirografarios '!G243</f>
        <v>683.74750181818183</v>
      </c>
    </row>
    <row r="382" spans="2:3">
      <c r="B382" s="379" t="str">
        <f>'Credores Quirografarios '!B244</f>
        <v xml:space="preserve">Prod. Aliment. Fleischmann e Royal Ltda </v>
      </c>
      <c r="C382" s="388">
        <f>'Credores Quirografarios '!G244</f>
        <v>586.32672363636368</v>
      </c>
    </row>
    <row r="383" spans="2:3">
      <c r="B383" s="379" t="str">
        <f>'Credores Quirografarios '!B245</f>
        <v xml:space="preserve">Prod. Alimentares Jr. Ltda </v>
      </c>
      <c r="C383" s="388">
        <f>'Credores Quirografarios '!G245</f>
        <v>250.04298909090909</v>
      </c>
    </row>
    <row r="384" spans="2:3">
      <c r="B384" s="379" t="str">
        <f>'Credores Quirografarios '!B246</f>
        <v xml:space="preserve">Prodalin Com. Repr. Ltda </v>
      </c>
      <c r="C384" s="388">
        <f>'Credores Quirografarios '!G246</f>
        <v>332.25671272727271</v>
      </c>
    </row>
    <row r="385" spans="2:3">
      <c r="B385" s="379" t="str">
        <f>'Credores Quirografarios '!B247</f>
        <v xml:space="preserve">Quaker Alimentos Ltda </v>
      </c>
      <c r="C385" s="388">
        <f>'Credores Quirografarios '!G247</f>
        <v>150.26529454545454</v>
      </c>
    </row>
    <row r="386" spans="2:3">
      <c r="B386" s="379" t="str">
        <f>'Credores Quirografarios '!B248</f>
        <v xml:space="preserve">Quimica Catarinense Ltda </v>
      </c>
      <c r="C386" s="388">
        <f>'Credores Quirografarios '!G248</f>
        <v>26.975512727272729</v>
      </c>
    </row>
    <row r="387" spans="2:3">
      <c r="B387" s="379" t="str">
        <f>'Credores Quirografarios '!B249</f>
        <v xml:space="preserve">Radio Brasil Novo Ltda </v>
      </c>
      <c r="C387" s="388">
        <f>'Credores Quirografarios '!G249</f>
        <v>43.432970909090912</v>
      </c>
    </row>
    <row r="388" spans="2:3">
      <c r="B388" s="379" t="str">
        <f>'Credores Quirografarios '!B250</f>
        <v xml:space="preserve">Radio Colon Ltda </v>
      </c>
      <c r="C388" s="388">
        <f>'Credores Quirografarios '!G250</f>
        <v>165.49396363636365</v>
      </c>
    </row>
    <row r="389" spans="2:3">
      <c r="B389" s="379" t="str">
        <f>'Credores Quirografarios '!B251</f>
        <v xml:space="preserve">Radio Cultura de Joinville Ltda </v>
      </c>
      <c r="C389" s="388">
        <f>'Credores Quirografarios '!G251</f>
        <v>328.41357454545454</v>
      </c>
    </row>
    <row r="390" spans="2:3">
      <c r="B390" s="379" t="str">
        <f>'Credores Quirografarios '!B252</f>
        <v>Radio Difusora São Francisco Ltda</v>
      </c>
      <c r="C390" s="388">
        <f>'Credores Quirografarios '!G252</f>
        <v>55.164654545454539</v>
      </c>
    </row>
    <row r="391" spans="2:3">
      <c r="B391" s="379" t="str">
        <f>'Credores Quirografarios '!B253</f>
        <v xml:space="preserve">Radio Floresta Negra Ltda </v>
      </c>
      <c r="C391" s="388">
        <f>'Credores Quirografarios '!G253</f>
        <v>15.170279999999998</v>
      </c>
    </row>
    <row r="392" spans="2:3">
      <c r="B392" s="379" t="str">
        <f>'Credores Quirografarios '!B254</f>
        <v xml:space="preserve">Rede Comunc. Perola Vale Ltda </v>
      </c>
      <c r="C392" s="388">
        <f>'Credores Quirografarios '!G254</f>
        <v>52.645465454545452</v>
      </c>
    </row>
    <row r="393" spans="2:3">
      <c r="B393" s="379" t="str">
        <f>'Credores Quirografarios '!B255</f>
        <v xml:space="preserve">Refinações de Milho Brasil Ltda </v>
      </c>
      <c r="C393" s="388">
        <f>'Credores Quirografarios '!G255</f>
        <v>167.77410181818183</v>
      </c>
    </row>
    <row r="394" spans="2:3">
      <c r="B394" s="379" t="str">
        <f>'Credores Quirografarios '!B256</f>
        <v xml:space="preserve">Refinações de Milho Brasil Ltda </v>
      </c>
      <c r="C394" s="388">
        <f>'Credores Quirografarios '!G256</f>
        <v>19.123745454545457</v>
      </c>
    </row>
    <row r="395" spans="2:3">
      <c r="B395" s="379" t="str">
        <f>'Credores Quirografarios '!B257</f>
        <v>Refinadora Catarinense S/A</v>
      </c>
      <c r="C395" s="388">
        <f>'Credores Quirografarios '!G257</f>
        <v>1277.1169163636364</v>
      </c>
    </row>
    <row r="396" spans="2:3">
      <c r="B396" s="379" t="str">
        <f>'Credores Quirografarios '!B258</f>
        <v xml:space="preserve">Reisol Prod. Alimenticios Ltda </v>
      </c>
      <c r="C396" s="388">
        <f>'Credores Quirografarios '!G258</f>
        <v>62.924480000000003</v>
      </c>
    </row>
    <row r="397" spans="2:3">
      <c r="B397" s="379" t="str">
        <f>'Credores Quirografarios '!B259</f>
        <v xml:space="preserve">Represent. Goedert Stanke Ltda </v>
      </c>
      <c r="C397" s="388">
        <f>'Credores Quirografarios '!G259</f>
        <v>44.131723636363638</v>
      </c>
    </row>
    <row r="398" spans="2:3">
      <c r="B398" s="379" t="str">
        <f>'Credores Quirografarios '!B260</f>
        <v>Restaurante Pizzaria Veneza Ltda</v>
      </c>
      <c r="C398" s="388">
        <f>'Credores Quirografarios '!G260</f>
        <v>136.47771636363635</v>
      </c>
    </row>
    <row r="399" spans="2:3">
      <c r="B399" s="379" t="str">
        <f>'Credores Quirografarios '!B261</f>
        <v xml:space="preserve">Roberto Carlos Fernandes Cia Ltda </v>
      </c>
      <c r="C399" s="388">
        <f>'Credores Quirografarios '!G261</f>
        <v>46.889956363636365</v>
      </c>
    </row>
    <row r="400" spans="2:3">
      <c r="B400" s="379" t="str">
        <f>'Credores Quirografarios '!B262</f>
        <v xml:space="preserve">Romanha Ind. de Alimentos Ltda </v>
      </c>
      <c r="C400" s="388">
        <f>'Credores Quirografarios '!G262</f>
        <v>454.44642181818176</v>
      </c>
    </row>
    <row r="401" spans="2:3">
      <c r="B401" s="379" t="str">
        <f>'Credores Quirografarios '!B263</f>
        <v>Romulo Pereira Martins</v>
      </c>
      <c r="C401" s="388">
        <f>'Credores Quirografarios '!G263</f>
        <v>315.17405818181817</v>
      </c>
    </row>
    <row r="402" spans="2:3">
      <c r="B402" s="379" t="str">
        <f>'Credores Quirografarios '!B264</f>
        <v xml:space="preserve">Rosatex Produtos Quimicos Ltda </v>
      </c>
      <c r="C402" s="388">
        <f>'Credores Quirografarios '!G264</f>
        <v>15.850643636363635</v>
      </c>
    </row>
    <row r="403" spans="2:3">
      <c r="B403" s="379" t="str">
        <f>'Credores Quirografarios '!B265</f>
        <v xml:space="preserve">S/A Moinho Santista Ind. Gerais </v>
      </c>
      <c r="C403" s="388">
        <f>'Credores Quirografarios '!G265</f>
        <v>2531.8185963636361</v>
      </c>
    </row>
    <row r="404" spans="2:3">
      <c r="B404" s="379" t="str">
        <f>'Credores Quirografarios '!B266</f>
        <v>Sadia Concordia S/A</v>
      </c>
      <c r="C404" s="388">
        <f>'Credores Quirografarios '!G266</f>
        <v>10597.681781818181</v>
      </c>
    </row>
    <row r="405" spans="2:3">
      <c r="B405" s="379" t="str">
        <f>'Credores Quirografarios '!B267</f>
        <v xml:space="preserve">Sadia Concordia S/A Ind. e Com. </v>
      </c>
      <c r="C405" s="388">
        <f>'Credores Quirografarios '!G267</f>
        <v>1179.4570872727274</v>
      </c>
    </row>
    <row r="406" spans="2:3">
      <c r="B406" s="379" t="str">
        <f>'Credores Quirografarios '!B268</f>
        <v xml:space="preserve">Salesbran Com. Frutas Verd. e Cereais Ltda </v>
      </c>
      <c r="C406" s="388">
        <f>'Credores Quirografarios '!G268</f>
        <v>12.503985454545454</v>
      </c>
    </row>
    <row r="407" spans="2:3">
      <c r="B407" s="379" t="str">
        <f>'Credores Quirografarios '!B269</f>
        <v xml:space="preserve">São Conrado-Distr. Prod. Alimenticios Ltda </v>
      </c>
      <c r="C407" s="388">
        <f>'Credores Quirografarios '!G269</f>
        <v>1016.6845818181819</v>
      </c>
    </row>
    <row r="408" spans="2:3">
      <c r="B408" s="379" t="str">
        <f>'Credores Quirografarios '!B270</f>
        <v>São Paulo Alpargatas S/A</v>
      </c>
      <c r="C408" s="388">
        <f>'Credores Quirografarios '!G270</f>
        <v>33.466556363636364</v>
      </c>
    </row>
    <row r="409" spans="2:3">
      <c r="B409" s="379" t="str">
        <f>'Credores Quirografarios '!B271</f>
        <v xml:space="preserve">Seagran do Brasil Ind. Com. Ltda </v>
      </c>
      <c r="C409" s="388">
        <f>'Credores Quirografarios '!G271</f>
        <v>390.54736363636363</v>
      </c>
    </row>
    <row r="410" spans="2:3">
      <c r="B410" s="379" t="str">
        <f>'Credores Quirografarios '!B272</f>
        <v>Sedigo Lesniovski e Cia Ltda</v>
      </c>
      <c r="C410" s="388">
        <f>'Credores Quirografarios '!G272</f>
        <v>1637.5627672727273</v>
      </c>
    </row>
    <row r="411" spans="2:3">
      <c r="B411" s="379" t="str">
        <f>'Credores Quirografarios '!B273</f>
        <v xml:space="preserve">Serraco Com. e Industria Ltda </v>
      </c>
      <c r="C411" s="388">
        <f>'Credores Quirografarios '!G273</f>
        <v>35.507647272727276</v>
      </c>
    </row>
    <row r="412" spans="2:3">
      <c r="B412" s="379" t="str">
        <f>'Credores Quirografarios '!B274</f>
        <v xml:space="preserve">Sococo S/A Ind. Alimenticias </v>
      </c>
      <c r="C412" s="388">
        <f>'Credores Quirografarios '!G274</f>
        <v>47.809367272727279</v>
      </c>
    </row>
    <row r="413" spans="2:3">
      <c r="B413" s="379" t="str">
        <f>'Credores Quirografarios '!B275</f>
        <v xml:space="preserve">Somencial Ind. Cevada Ltda </v>
      </c>
      <c r="C413" s="388">
        <f>'Credores Quirografarios '!G275</f>
        <v>11.621352727272727</v>
      </c>
    </row>
    <row r="414" spans="2:3">
      <c r="B414" s="379" t="str">
        <f>'Credores Quirografarios '!B276</f>
        <v xml:space="preserve">Sonho Infantil Com. Repr. Art. Festas Ltda </v>
      </c>
      <c r="C414" s="388">
        <f>'Credores Quirografarios '!G276</f>
        <v>569.57505818181812</v>
      </c>
    </row>
    <row r="415" spans="2:3">
      <c r="B415" s="379" t="str">
        <f>'Credores Quirografarios '!B277</f>
        <v xml:space="preserve">Switf Armour S/A Ind e Com. </v>
      </c>
      <c r="C415" s="388">
        <f>'Credores Quirografarios '!G277</f>
        <v>398.56462909090908</v>
      </c>
    </row>
    <row r="416" spans="2:3">
      <c r="B416" s="379" t="str">
        <f>'Credores Quirografarios '!B278</f>
        <v>Tip Top Alimentos Ltda</v>
      </c>
      <c r="C416" s="388">
        <f>'Credores Quirografarios '!G278</f>
        <v>1273.2002254545455</v>
      </c>
    </row>
    <row r="417" spans="2:3">
      <c r="B417" s="379" t="str">
        <f>'Credores Quirografarios '!B279</f>
        <v xml:space="preserve">Totsu Com. de Frutas e Verduras Ltda </v>
      </c>
      <c r="C417" s="388">
        <f>'Credores Quirografarios '!G279</f>
        <v>43.175534545454546</v>
      </c>
    </row>
    <row r="418" spans="2:3">
      <c r="B418" s="379" t="str">
        <f>'Credores Quirografarios '!B280</f>
        <v>Tramontina Farroupilha S/A</v>
      </c>
      <c r="C418" s="388">
        <f>'Credores Quirografarios '!G280</f>
        <v>170.77138181818182</v>
      </c>
    </row>
    <row r="419" spans="2:3">
      <c r="B419" s="379" t="str">
        <f>'Credores Quirografarios '!B281</f>
        <v xml:space="preserve">Tramontina S/A Cutelaria </v>
      </c>
      <c r="C419" s="388">
        <f>'Credores Quirografarios '!G281</f>
        <v>385.12284</v>
      </c>
    </row>
    <row r="420" spans="2:3">
      <c r="B420" s="379" t="str">
        <f>'Credores Quirografarios '!B282</f>
        <v>Trans. C. de F. e Verduras Bonacolsi Ltda</v>
      </c>
      <c r="C420" s="388">
        <f>'Credores Quirografarios '!G282</f>
        <v>2973.7426436363635</v>
      </c>
    </row>
    <row r="421" spans="2:3">
      <c r="B421" s="379" t="str">
        <f>'Credores Quirografarios '!B283</f>
        <v xml:space="preserve">Ts Com. de Frutas e Verduras Ltda </v>
      </c>
      <c r="C421" s="388">
        <f>'Credores Quirografarios '!G283</f>
        <v>36.776436363636364</v>
      </c>
    </row>
    <row r="422" spans="2:3">
      <c r="B422" s="379" t="str">
        <f>'Credores Quirografarios '!B284</f>
        <v xml:space="preserve">TV Barriga Verde Ltda </v>
      </c>
      <c r="C422" s="388">
        <f>'Credores Quirografarios '!G284</f>
        <v>919.41090909090906</v>
      </c>
    </row>
    <row r="423" spans="2:3">
      <c r="B423" s="379" t="str">
        <f>'Credores Quirografarios '!B285</f>
        <v>U.G. Ind. e Com. de Embal. Ltda</v>
      </c>
      <c r="C423" s="388">
        <f>'Credores Quirografarios '!G285</f>
        <v>331.2821381818182</v>
      </c>
    </row>
    <row r="424" spans="2:3">
      <c r="B424" s="379" t="str">
        <f>'Credores Quirografarios '!B286</f>
        <v>União Fabril Exportadora S/A</v>
      </c>
      <c r="C424" s="388">
        <f>'Credores Quirografarios '!G286</f>
        <v>223.54556727272728</v>
      </c>
    </row>
    <row r="425" spans="2:3">
      <c r="B425" s="379" t="str">
        <f>'Credores Quirografarios '!B287</f>
        <v xml:space="preserve">Universo Com. Reps. Ltda </v>
      </c>
      <c r="C425" s="388">
        <f>'Credores Quirografarios '!G287</f>
        <v>2.0962545454545456</v>
      </c>
    </row>
    <row r="426" spans="2:3">
      <c r="B426" s="379" t="str">
        <f>'Credores Quirografarios '!B288</f>
        <v>Valci Rizzo</v>
      </c>
      <c r="C426" s="388">
        <f>'Credores Quirografarios '!G288</f>
        <v>382.10868363636359</v>
      </c>
    </row>
    <row r="427" spans="2:3">
      <c r="B427" s="379" t="str">
        <f>'Credores Quirografarios '!B289</f>
        <v>Valdecir Dela Rosa</v>
      </c>
      <c r="C427" s="388">
        <f>'Credores Quirografarios '!G289</f>
        <v>84.309978181818181</v>
      </c>
    </row>
    <row r="428" spans="2:3">
      <c r="B428" s="379" t="str">
        <f>'Credores Quirografarios '!B290</f>
        <v>Vemate Verdinha Ind. do Mate Ltda</v>
      </c>
      <c r="C428" s="388">
        <f>'Credores Quirografarios '!G290</f>
        <v>120.75542545454545</v>
      </c>
    </row>
    <row r="429" spans="2:3">
      <c r="B429" s="379" t="str">
        <f>'Credores Quirografarios '!B291</f>
        <v>Visagis S/A Ind. Alimenticias</v>
      </c>
      <c r="C429" s="388">
        <f>'Credores Quirografarios '!G291</f>
        <v>54.870439999999995</v>
      </c>
    </row>
    <row r="430" spans="2:3">
      <c r="B430" s="379" t="str">
        <f>'Credores Quirografarios '!B292</f>
        <v xml:space="preserve">Vontobel S/A Produtos Mu-Mu  </v>
      </c>
      <c r="C430" s="388">
        <f>'Credores Quirografarios '!G292</f>
        <v>203.6127381818182</v>
      </c>
    </row>
    <row r="431" spans="2:3">
      <c r="B431" s="379" t="str">
        <f>'Credores Quirografarios '!B293</f>
        <v>Waldemar Baade</v>
      </c>
      <c r="C431" s="388">
        <f>'Credores Quirografarios '!G293</f>
        <v>1.5446072727272728</v>
      </c>
    </row>
    <row r="432" spans="2:3">
      <c r="B432" s="379" t="str">
        <f>'Credores Quirografarios '!B294</f>
        <v>Weegw Ind. Alimenticia Ltda</v>
      </c>
      <c r="C432" s="388">
        <f>'Credores Quirografarios '!G294</f>
        <v>591.43864727272728</v>
      </c>
    </row>
    <row r="433" spans="2:3">
      <c r="B433" s="379" t="str">
        <f>'Credores Quirografarios '!B295</f>
        <v>Weg Penha Pescados S/A</v>
      </c>
      <c r="C433" s="388">
        <f>'Credores Quirografarios '!G295</f>
        <v>49.611410909090914</v>
      </c>
    </row>
    <row r="434" spans="2:3">
      <c r="B434" s="379" t="str">
        <f>'Credores Quirografarios '!B296</f>
        <v>White Martins Gases Ind. S/A</v>
      </c>
      <c r="C434" s="388">
        <f>'Credores Quirografarios '!G296</f>
        <v>31.223192727272728</v>
      </c>
    </row>
    <row r="435" spans="2:3">
      <c r="B435" s="379" t="str">
        <f>'Credores Quirografarios '!B297</f>
        <v>Yakult S/A Ind. e Com.</v>
      </c>
      <c r="C435" s="388">
        <f>'Credores Quirografarios '!G297</f>
        <v>791.33696727272729</v>
      </c>
    </row>
    <row r="436" spans="2:3">
      <c r="B436" s="400" t="str">
        <f>'Credores Quirografarios '!B298</f>
        <v>York S/A Ind. Com.</v>
      </c>
      <c r="C436" s="401">
        <f>'Credores Quirografarios '!G298</f>
        <v>123.25622545454546</v>
      </c>
    </row>
    <row r="437" spans="2:3">
      <c r="B437" s="409" t="s">
        <v>807</v>
      </c>
      <c r="C437" s="408">
        <f>SUM(C143:C436)</f>
        <v>191702.01394181806</v>
      </c>
    </row>
    <row r="439" spans="2:3">
      <c r="C439" s="208">
        <f>C437-'Credores Quirografarios '!G299</f>
        <v>0</v>
      </c>
    </row>
  </sheetData>
  <mergeCells count="9">
    <mergeCell ref="B130:E130"/>
    <mergeCell ref="D132:D136"/>
    <mergeCell ref="B141:C141"/>
    <mergeCell ref="B2:E2"/>
    <mergeCell ref="D4:D8"/>
    <mergeCell ref="B12:E12"/>
    <mergeCell ref="D14:D17"/>
    <mergeCell ref="D18:D71"/>
    <mergeCell ref="D72:D125"/>
  </mergeCells>
  <pageMargins left="0.511811024" right="0.511811024" top="0.78740157499999996" bottom="0.78740157499999996" header="0.31496062000000002" footer="0.31496062000000002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8D829-35A3-4EE6-BCCF-FB8C7BA7B8E0}">
  <dimension ref="B2:M11"/>
  <sheetViews>
    <sheetView workbookViewId="0">
      <selection activeCell="G9" sqref="G9"/>
    </sheetView>
  </sheetViews>
  <sheetFormatPr defaultRowHeight="14.25"/>
  <cols>
    <col min="2" max="2" width="15.265625" customWidth="1"/>
    <col min="3" max="5" width="11.1328125" customWidth="1"/>
    <col min="6" max="6" width="9.86328125" bestFit="1" customWidth="1"/>
    <col min="7" max="7" width="9.73046875" bestFit="1" customWidth="1"/>
    <col min="8" max="8" width="9.9296875" bestFit="1" customWidth="1"/>
    <col min="9" max="9" width="11.6640625" customWidth="1"/>
    <col min="10" max="12" width="9.86328125" bestFit="1" customWidth="1"/>
  </cols>
  <sheetData>
    <row r="2" spans="2:13">
      <c r="B2" t="s">
        <v>818</v>
      </c>
    </row>
    <row r="3" spans="2:13">
      <c r="B3" s="550" t="s">
        <v>819</v>
      </c>
      <c r="C3" s="550" t="s">
        <v>820</v>
      </c>
      <c r="D3" s="550" t="s">
        <v>845</v>
      </c>
      <c r="E3" s="549"/>
      <c r="F3" s="550" t="s">
        <v>842</v>
      </c>
      <c r="G3" s="550"/>
      <c r="H3" s="550"/>
      <c r="I3" s="551" t="s">
        <v>843</v>
      </c>
      <c r="J3" s="550" t="s">
        <v>844</v>
      </c>
      <c r="K3" s="550"/>
      <c r="L3" s="550"/>
    </row>
    <row r="4" spans="2:13" ht="27.75" customHeight="1">
      <c r="B4" s="550"/>
      <c r="C4" s="550"/>
      <c r="D4" s="550"/>
      <c r="E4" s="549" t="s">
        <v>833</v>
      </c>
      <c r="F4" s="552" t="s">
        <v>830</v>
      </c>
      <c r="G4" s="552" t="s">
        <v>831</v>
      </c>
      <c r="H4" s="552" t="s">
        <v>832</v>
      </c>
      <c r="I4" s="551"/>
      <c r="J4" s="552" t="s">
        <v>830</v>
      </c>
      <c r="K4" s="552" t="s">
        <v>831</v>
      </c>
      <c r="L4" s="552" t="s">
        <v>832</v>
      </c>
    </row>
    <row r="5" spans="2:13" ht="26.25">
      <c r="B5" s="530" t="s">
        <v>823</v>
      </c>
      <c r="C5" s="530" t="s">
        <v>824</v>
      </c>
      <c r="D5" s="530" t="s">
        <v>837</v>
      </c>
      <c r="E5" s="531">
        <v>42011</v>
      </c>
      <c r="F5" s="532">
        <v>7750.74</v>
      </c>
      <c r="G5" s="532">
        <v>775.1</v>
      </c>
      <c r="H5" s="532">
        <f t="shared" ref="H5:H8" si="0">SUM(F5:G5)</f>
        <v>8525.84</v>
      </c>
      <c r="I5" s="533">
        <f>INPC!E303</f>
        <v>0.86616949405957788</v>
      </c>
      <c r="J5" s="532">
        <f>ROUND(F5*(1+I5),2)</f>
        <v>14464.19</v>
      </c>
      <c r="K5" s="532">
        <f>ROUND(J5*10%,2)</f>
        <v>1446.42</v>
      </c>
      <c r="L5" s="534">
        <f>SUM(J5:K5)</f>
        <v>15910.61</v>
      </c>
    </row>
    <row r="6" spans="2:13" ht="26.25">
      <c r="B6" s="535" t="s">
        <v>822</v>
      </c>
      <c r="C6" s="535" t="s">
        <v>821</v>
      </c>
      <c r="D6" s="535" t="s">
        <v>840</v>
      </c>
      <c r="E6" s="536">
        <v>60638</v>
      </c>
      <c r="F6" s="537">
        <v>8515.2900000000009</v>
      </c>
      <c r="G6" s="537">
        <v>851.5</v>
      </c>
      <c r="H6" s="537">
        <f>SUM(F6:G6)</f>
        <v>9366.7900000000009</v>
      </c>
      <c r="I6" s="538">
        <f>INPC!E315</f>
        <v>0.67706127719546205</v>
      </c>
      <c r="J6" s="537">
        <f t="shared" ref="J6:J10" si="1">ROUND(F6*(1+I6),2)</f>
        <v>14280.66</v>
      </c>
      <c r="K6" s="537">
        <f t="shared" ref="K6:K10" si="2">ROUND(J6*10%,2)</f>
        <v>1428.07</v>
      </c>
      <c r="L6" s="539">
        <f t="shared" ref="L6:L10" si="3">SUM(J6:K6)</f>
        <v>15708.73</v>
      </c>
    </row>
    <row r="7" spans="2:13" ht="26.25">
      <c r="B7" s="535" t="s">
        <v>826</v>
      </c>
      <c r="C7" s="535" t="s">
        <v>827</v>
      </c>
      <c r="D7" s="535" t="s">
        <v>838</v>
      </c>
      <c r="E7" s="536">
        <v>42740</v>
      </c>
      <c r="F7" s="537">
        <v>9189.3700000000008</v>
      </c>
      <c r="G7" s="537">
        <v>918.9</v>
      </c>
      <c r="H7" s="537">
        <f t="shared" si="0"/>
        <v>10108.27</v>
      </c>
      <c r="I7" s="538">
        <f>INPC!E327</f>
        <v>0.57352397236584673</v>
      </c>
      <c r="J7" s="537">
        <f t="shared" si="1"/>
        <v>14459.69</v>
      </c>
      <c r="K7" s="537">
        <f t="shared" si="2"/>
        <v>1445.97</v>
      </c>
      <c r="L7" s="539">
        <f t="shared" si="3"/>
        <v>15905.66</v>
      </c>
    </row>
    <row r="8" spans="2:13" ht="26.25">
      <c r="B8" s="535" t="s">
        <v>828</v>
      </c>
      <c r="C8" s="535" t="s">
        <v>829</v>
      </c>
      <c r="D8" s="535" t="s">
        <v>839</v>
      </c>
      <c r="E8" s="536">
        <v>43105</v>
      </c>
      <c r="F8" s="540">
        <v>9418.93</v>
      </c>
      <c r="G8" s="537">
        <v>941.89</v>
      </c>
      <c r="H8" s="537">
        <f t="shared" si="0"/>
        <v>10360.82</v>
      </c>
      <c r="I8" s="538">
        <f>INPC!E339</f>
        <v>0.54165894624138944</v>
      </c>
      <c r="J8" s="537">
        <f t="shared" si="1"/>
        <v>14520.78</v>
      </c>
      <c r="K8" s="537">
        <f t="shared" si="2"/>
        <v>1452.08</v>
      </c>
      <c r="L8" s="539">
        <f t="shared" si="3"/>
        <v>15972.86</v>
      </c>
    </row>
    <row r="9" spans="2:13" ht="26.25" customHeight="1">
      <c r="B9" s="541" t="s">
        <v>825</v>
      </c>
      <c r="C9" s="541" t="s">
        <v>836</v>
      </c>
      <c r="D9" s="535" t="s">
        <v>834</v>
      </c>
      <c r="E9" s="536">
        <v>43472</v>
      </c>
      <c r="F9" s="537">
        <f>992.89*9+992.82</f>
        <v>9928.83</v>
      </c>
      <c r="G9" s="537">
        <f>99.29*10-0.01</f>
        <v>992.8900000000001</v>
      </c>
      <c r="H9" s="537">
        <f>SUM(F9:G9)</f>
        <v>10921.72</v>
      </c>
      <c r="I9" s="538">
        <f>INPC!E351</f>
        <v>0.49047666514921517</v>
      </c>
      <c r="J9" s="537">
        <f t="shared" si="1"/>
        <v>14798.69</v>
      </c>
      <c r="K9" s="537">
        <f t="shared" si="2"/>
        <v>1479.87</v>
      </c>
      <c r="L9" s="539">
        <f t="shared" si="3"/>
        <v>16278.560000000001</v>
      </c>
      <c r="M9" s="89"/>
    </row>
    <row r="10" spans="2:13">
      <c r="B10" s="542"/>
      <c r="C10" s="542"/>
      <c r="D10" s="543" t="s">
        <v>835</v>
      </c>
      <c r="E10" s="544">
        <v>43837</v>
      </c>
      <c r="F10" s="545">
        <f>1027.37*10+0.01</f>
        <v>10273.709999999999</v>
      </c>
      <c r="G10" s="545">
        <f>102.74*10</f>
        <v>1027.3999999999999</v>
      </c>
      <c r="H10" s="545">
        <f>SUM(F10:G10)</f>
        <v>11301.109999999999</v>
      </c>
      <c r="I10" s="546">
        <f>INPC!E363</f>
        <v>0.42654479532429357</v>
      </c>
      <c r="J10" s="545">
        <f t="shared" si="1"/>
        <v>14655.91</v>
      </c>
      <c r="K10" s="545">
        <f t="shared" si="2"/>
        <v>1465.59</v>
      </c>
      <c r="L10" s="547">
        <f t="shared" si="3"/>
        <v>16121.5</v>
      </c>
    </row>
    <row r="11" spans="2:13">
      <c r="B11" s="553" t="s">
        <v>56</v>
      </c>
      <c r="C11" s="553"/>
      <c r="D11" s="553"/>
      <c r="E11" s="553"/>
      <c r="F11" s="548">
        <f>SUM(F5:F10)</f>
        <v>55076.87</v>
      </c>
      <c r="G11" s="548">
        <f t="shared" ref="G11:H11" si="4">SUM(G5:G10)</f>
        <v>5507.6799999999994</v>
      </c>
      <c r="H11" s="548">
        <f t="shared" si="4"/>
        <v>60584.55</v>
      </c>
      <c r="I11" s="549"/>
      <c r="J11" s="548">
        <f t="shared" ref="J11:L11" si="5">SUM(J5:J10)</f>
        <v>87179.92</v>
      </c>
      <c r="K11" s="548">
        <f t="shared" si="5"/>
        <v>8718</v>
      </c>
      <c r="L11" s="548">
        <f t="shared" si="5"/>
        <v>95897.919999999998</v>
      </c>
    </row>
  </sheetData>
  <mergeCells count="9">
    <mergeCell ref="B11:E11"/>
    <mergeCell ref="B9:B10"/>
    <mergeCell ref="C9:C10"/>
    <mergeCell ref="F3:H3"/>
    <mergeCell ref="I3:I4"/>
    <mergeCell ref="J3:L3"/>
    <mergeCell ref="D3:D4"/>
    <mergeCell ref="C3:C4"/>
    <mergeCell ref="B3:B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A210-E984-4D52-BD33-CAC47E7443F5}">
  <dimension ref="A1:K443"/>
  <sheetViews>
    <sheetView showGridLines="0" workbookViewId="0">
      <pane ySplit="1" topLeftCell="A350" activePane="bottomLeft" state="frozen"/>
      <selection pane="bottomLeft" activeCell="E5" sqref="E5"/>
    </sheetView>
  </sheetViews>
  <sheetFormatPr defaultRowHeight="14.25"/>
  <cols>
    <col min="2" max="2" width="12.19921875" style="1" bestFit="1" customWidth="1"/>
    <col min="3" max="3" width="9.265625" style="83" bestFit="1" customWidth="1"/>
    <col min="4" max="4" width="9.73046875" customWidth="1"/>
    <col min="5" max="5" width="15" style="343" customWidth="1"/>
    <col min="6" max="6" width="18" bestFit="1" customWidth="1"/>
    <col min="7" max="8" width="20" bestFit="1" customWidth="1"/>
    <col min="9" max="10" width="15.265625" bestFit="1" customWidth="1"/>
    <col min="11" max="11" width="12.53125" bestFit="1" customWidth="1"/>
  </cols>
  <sheetData>
    <row r="1" spans="1:11">
      <c r="A1" s="84" t="s">
        <v>528</v>
      </c>
      <c r="B1" s="2" t="s">
        <v>529</v>
      </c>
      <c r="C1" s="85" t="s">
        <v>530</v>
      </c>
      <c r="D1" s="340" t="s">
        <v>531</v>
      </c>
      <c r="E1" s="342" t="s">
        <v>841</v>
      </c>
      <c r="F1" s="528"/>
      <c r="G1" s="528"/>
    </row>
    <row r="2" spans="1:11">
      <c r="A2" t="s">
        <v>456</v>
      </c>
      <c r="B2" s="1">
        <v>1</v>
      </c>
      <c r="C2" s="86">
        <v>39783</v>
      </c>
      <c r="D2" s="87">
        <v>0.51280000000000003</v>
      </c>
      <c r="E2" s="343">
        <f t="shared" ref="E2:E49" si="0">(1+E3)*(1+D2)-1</f>
        <v>3686340.1690782495</v>
      </c>
      <c r="F2" s="341"/>
    </row>
    <row r="3" spans="1:11">
      <c r="A3" t="s">
        <v>456</v>
      </c>
      <c r="B3" s="1">
        <v>1</v>
      </c>
      <c r="C3" s="86">
        <v>32874</v>
      </c>
      <c r="D3" s="87">
        <v>0.68189999999999995</v>
      </c>
      <c r="E3" s="343">
        <f t="shared" si="0"/>
        <v>2436766.034028457</v>
      </c>
      <c r="F3" s="341"/>
    </row>
    <row r="4" spans="1:11">
      <c r="A4" t="s">
        <v>456</v>
      </c>
      <c r="B4" s="1">
        <v>1</v>
      </c>
      <c r="C4" s="86">
        <v>32905</v>
      </c>
      <c r="D4" s="87">
        <v>0.7399</v>
      </c>
      <c r="E4" s="343">
        <f t="shared" si="0"/>
        <v>1448817.0236806332</v>
      </c>
      <c r="F4" s="341"/>
    </row>
    <row r="5" spans="1:11">
      <c r="A5" t="s">
        <v>532</v>
      </c>
      <c r="B5" s="1" t="s">
        <v>533</v>
      </c>
      <c r="C5" s="86">
        <v>32933</v>
      </c>
      <c r="D5" s="87">
        <v>0.82179999999999997</v>
      </c>
      <c r="E5" s="343">
        <f t="shared" si="0"/>
        <v>832700.89302869886</v>
      </c>
      <c r="F5" s="341"/>
      <c r="G5" s="88"/>
      <c r="H5" s="88"/>
      <c r="I5" s="88"/>
      <c r="J5" s="88"/>
      <c r="K5" s="88"/>
    </row>
    <row r="6" spans="1:11">
      <c r="A6" t="s">
        <v>532</v>
      </c>
      <c r="B6" s="1" t="s">
        <v>533</v>
      </c>
      <c r="C6" s="86">
        <v>32964</v>
      </c>
      <c r="D6" s="87">
        <v>0.1467</v>
      </c>
      <c r="E6" s="343">
        <f t="shared" si="0"/>
        <v>457075.45901234978</v>
      </c>
      <c r="F6" s="341"/>
      <c r="G6" s="89"/>
      <c r="H6" s="89"/>
    </row>
    <row r="7" spans="1:11">
      <c r="A7" t="s">
        <v>532</v>
      </c>
      <c r="B7" s="1" t="s">
        <v>533</v>
      </c>
      <c r="C7" s="86">
        <v>32994</v>
      </c>
      <c r="D7" s="87">
        <v>7.3099999999999998E-2</v>
      </c>
      <c r="E7" s="343">
        <f t="shared" si="0"/>
        <v>398600.60374321946</v>
      </c>
      <c r="F7" s="341"/>
      <c r="G7" s="89"/>
    </row>
    <row r="8" spans="1:11">
      <c r="A8" t="s">
        <v>532</v>
      </c>
      <c r="B8" s="1" t="s">
        <v>533</v>
      </c>
      <c r="C8" s="86">
        <v>33025</v>
      </c>
      <c r="D8" s="87">
        <v>0.1164</v>
      </c>
      <c r="E8" s="343">
        <f t="shared" si="0"/>
        <v>371447.70351618627</v>
      </c>
      <c r="F8" s="341"/>
    </row>
    <row r="9" spans="1:11">
      <c r="A9" t="s">
        <v>532</v>
      </c>
      <c r="B9" s="1" t="s">
        <v>533</v>
      </c>
      <c r="C9" s="86">
        <v>33055</v>
      </c>
      <c r="D9" s="87">
        <v>0.12620000000000001</v>
      </c>
      <c r="E9" s="343">
        <f t="shared" si="0"/>
        <v>332719.0855573148</v>
      </c>
      <c r="F9" s="341"/>
    </row>
    <row r="10" spans="1:11">
      <c r="A10" t="s">
        <v>532</v>
      </c>
      <c r="B10" s="1" t="s">
        <v>533</v>
      </c>
      <c r="C10" s="86">
        <v>33086</v>
      </c>
      <c r="D10" s="87">
        <v>0.12179999999999999</v>
      </c>
      <c r="E10" s="343">
        <f t="shared" si="0"/>
        <v>295435.05536966329</v>
      </c>
      <c r="F10" s="341"/>
    </row>
    <row r="11" spans="1:11">
      <c r="A11" t="s">
        <v>532</v>
      </c>
      <c r="B11" s="1" t="s">
        <v>533</v>
      </c>
      <c r="C11" s="86">
        <v>33117</v>
      </c>
      <c r="D11" s="87">
        <v>0.1426</v>
      </c>
      <c r="E11" s="343">
        <f t="shared" si="0"/>
        <v>263357.93686010281</v>
      </c>
      <c r="F11" s="341"/>
    </row>
    <row r="12" spans="1:11">
      <c r="A12" t="s">
        <v>532</v>
      </c>
      <c r="B12" s="1" t="s">
        <v>533</v>
      </c>
      <c r="C12" s="86">
        <v>33147</v>
      </c>
      <c r="D12" s="87">
        <v>0.14430000000000001</v>
      </c>
      <c r="E12" s="343">
        <f t="shared" si="0"/>
        <v>230489.93021188761</v>
      </c>
      <c r="F12" s="341"/>
      <c r="G12" s="90"/>
      <c r="H12" s="91"/>
      <c r="I12" s="92"/>
    </row>
    <row r="13" spans="1:11">
      <c r="A13" t="s">
        <v>532</v>
      </c>
      <c r="B13" s="1" t="s">
        <v>533</v>
      </c>
      <c r="C13" s="86">
        <v>33178</v>
      </c>
      <c r="D13" s="87">
        <v>0.16919999999999999</v>
      </c>
      <c r="E13" s="343">
        <f t="shared" si="0"/>
        <v>201424.26453892124</v>
      </c>
      <c r="F13" s="341"/>
      <c r="G13" s="90"/>
      <c r="H13" s="89"/>
    </row>
    <row r="14" spans="1:11">
      <c r="A14" t="s">
        <v>532</v>
      </c>
      <c r="B14" s="1" t="s">
        <v>533</v>
      </c>
      <c r="C14" s="86">
        <v>33208</v>
      </c>
      <c r="D14" s="87">
        <v>0.19139999999999996</v>
      </c>
      <c r="E14" s="343">
        <f t="shared" si="0"/>
        <v>172275.14141200928</v>
      </c>
      <c r="F14" s="341"/>
      <c r="G14" s="93"/>
      <c r="I14" s="92"/>
    </row>
    <row r="15" spans="1:11">
      <c r="A15" t="s">
        <v>532</v>
      </c>
      <c r="B15" s="1" t="s">
        <v>533</v>
      </c>
      <c r="C15" s="86">
        <v>33239</v>
      </c>
      <c r="D15" s="87">
        <v>0.20949999999999999</v>
      </c>
      <c r="E15" s="343">
        <f t="shared" si="0"/>
        <v>144598.74938056848</v>
      </c>
      <c r="F15" s="341"/>
      <c r="G15" s="94"/>
    </row>
    <row r="16" spans="1:11">
      <c r="A16" t="s">
        <v>532</v>
      </c>
      <c r="B16" s="1" t="s">
        <v>533</v>
      </c>
      <c r="C16" s="86">
        <v>33270</v>
      </c>
      <c r="D16" s="87">
        <v>0.20200000000000004</v>
      </c>
      <c r="E16" s="343">
        <f t="shared" si="0"/>
        <v>119552.32730927529</v>
      </c>
      <c r="F16" s="341"/>
    </row>
    <row r="17" spans="1:6">
      <c r="A17" t="s">
        <v>532</v>
      </c>
      <c r="B17" s="1" t="s">
        <v>533</v>
      </c>
      <c r="C17" s="86">
        <v>33298</v>
      </c>
      <c r="D17" s="87">
        <v>0.1179</v>
      </c>
      <c r="E17" s="343">
        <f t="shared" si="0"/>
        <v>99461.002753140841</v>
      </c>
      <c r="F17" s="341"/>
    </row>
    <row r="18" spans="1:6">
      <c r="A18" t="s">
        <v>532</v>
      </c>
      <c r="B18" s="1" t="s">
        <v>533</v>
      </c>
      <c r="C18" s="86">
        <v>33329</v>
      </c>
      <c r="D18" s="87">
        <v>5.0099999999999999E-2</v>
      </c>
      <c r="E18" s="343">
        <f t="shared" si="0"/>
        <v>88971.182443099417</v>
      </c>
      <c r="F18" s="341"/>
    </row>
    <row r="19" spans="1:6">
      <c r="A19" t="s">
        <v>532</v>
      </c>
      <c r="B19" s="1" t="s">
        <v>533</v>
      </c>
      <c r="C19" s="86">
        <v>33359</v>
      </c>
      <c r="D19" s="87">
        <v>6.6799999999999998E-2</v>
      </c>
      <c r="E19" s="343">
        <f t="shared" si="0"/>
        <v>84726.342579848977</v>
      </c>
      <c r="F19" s="341"/>
    </row>
    <row r="20" spans="1:6">
      <c r="A20" t="s">
        <v>532</v>
      </c>
      <c r="B20" s="1" t="s">
        <v>533</v>
      </c>
      <c r="C20" s="86">
        <v>33390</v>
      </c>
      <c r="D20" s="87">
        <v>0.10830000000000001</v>
      </c>
      <c r="E20" s="343">
        <f t="shared" si="0"/>
        <v>79420.955924117909</v>
      </c>
      <c r="F20" s="341"/>
    </row>
    <row r="21" spans="1:6">
      <c r="A21" t="s">
        <v>532</v>
      </c>
      <c r="B21" s="1" t="s">
        <v>533</v>
      </c>
      <c r="C21" s="86">
        <v>33420</v>
      </c>
      <c r="D21" s="87">
        <v>0.12139999999999999</v>
      </c>
      <c r="E21" s="343">
        <f t="shared" si="0"/>
        <v>71660.062820642343</v>
      </c>
      <c r="F21" s="341"/>
    </row>
    <row r="22" spans="1:6">
      <c r="A22" t="s">
        <v>532</v>
      </c>
      <c r="B22" s="1" t="s">
        <v>533</v>
      </c>
      <c r="C22" s="86">
        <v>33451</v>
      </c>
      <c r="D22" s="87">
        <v>0.15620000000000001</v>
      </c>
      <c r="E22" s="343">
        <f t="shared" si="0"/>
        <v>63902.212788159755</v>
      </c>
      <c r="F22" s="341"/>
    </row>
    <row r="23" spans="1:6">
      <c r="A23" t="s">
        <v>532</v>
      </c>
      <c r="B23" s="1" t="s">
        <v>533</v>
      </c>
      <c r="C23" s="86">
        <v>33482</v>
      </c>
      <c r="D23" s="87">
        <v>0.15620000000000001</v>
      </c>
      <c r="E23" s="343">
        <f t="shared" si="0"/>
        <v>55269.033547967265</v>
      </c>
      <c r="F23" s="341"/>
    </row>
    <row r="24" spans="1:6">
      <c r="A24" t="s">
        <v>532</v>
      </c>
      <c r="B24" s="1" t="s">
        <v>533</v>
      </c>
      <c r="C24" s="86">
        <v>33512</v>
      </c>
      <c r="D24" s="87">
        <v>0.21079999999999999</v>
      </c>
      <c r="E24" s="343">
        <f t="shared" si="0"/>
        <v>47802.177259961303</v>
      </c>
      <c r="F24" s="341"/>
    </row>
    <row r="25" spans="1:6">
      <c r="A25" t="s">
        <v>532</v>
      </c>
      <c r="B25" s="1" t="s">
        <v>533</v>
      </c>
      <c r="C25" s="86">
        <v>33543</v>
      </c>
      <c r="D25" s="87">
        <v>0.26479999999999998</v>
      </c>
      <c r="E25" s="343">
        <f t="shared" si="0"/>
        <v>39479.655153585489</v>
      </c>
      <c r="F25" s="341"/>
    </row>
    <row r="26" spans="1:6">
      <c r="A26" t="s">
        <v>532</v>
      </c>
      <c r="B26" s="1" t="s">
        <v>533</v>
      </c>
      <c r="C26" s="86">
        <v>33573</v>
      </c>
      <c r="D26" s="87">
        <v>0.24149999999999999</v>
      </c>
      <c r="E26" s="343">
        <f t="shared" si="0"/>
        <v>31213.939242240271</v>
      </c>
      <c r="F26" s="341"/>
    </row>
    <row r="27" spans="1:6">
      <c r="A27" t="s">
        <v>532</v>
      </c>
      <c r="B27" s="1" t="s">
        <v>533</v>
      </c>
      <c r="C27" s="86">
        <v>33604</v>
      </c>
      <c r="D27" s="87">
        <v>0.25919999999999999</v>
      </c>
      <c r="E27" s="343">
        <f t="shared" si="0"/>
        <v>25141.923272042102</v>
      </c>
      <c r="F27" s="341"/>
    </row>
    <row r="28" spans="1:6">
      <c r="A28" t="s">
        <v>532</v>
      </c>
      <c r="B28" s="1" t="s">
        <v>533</v>
      </c>
      <c r="C28" s="86">
        <v>33635</v>
      </c>
      <c r="D28" s="87">
        <v>0.24480000000000002</v>
      </c>
      <c r="E28" s="343">
        <f t="shared" si="0"/>
        <v>19966.378710325687</v>
      </c>
      <c r="F28" s="341"/>
    </row>
    <row r="29" spans="1:6">
      <c r="A29" t="s">
        <v>532</v>
      </c>
      <c r="B29" s="1" t="s">
        <v>533</v>
      </c>
      <c r="C29" s="86">
        <v>33664</v>
      </c>
      <c r="D29" s="87">
        <v>0.2162</v>
      </c>
      <c r="E29" s="343">
        <f t="shared" si="0"/>
        <v>16039.631997369605</v>
      </c>
      <c r="F29" s="341"/>
    </row>
    <row r="30" spans="1:6">
      <c r="A30" t="s">
        <v>532</v>
      </c>
      <c r="B30" s="1" t="s">
        <v>533</v>
      </c>
      <c r="C30" s="86">
        <v>33695</v>
      </c>
      <c r="D30" s="87">
        <v>0.2084</v>
      </c>
      <c r="E30" s="343">
        <f t="shared" si="0"/>
        <v>13188.139941925345</v>
      </c>
      <c r="F30" s="341"/>
    </row>
    <row r="31" spans="1:6">
      <c r="A31" t="s">
        <v>532</v>
      </c>
      <c r="B31" s="1" t="s">
        <v>533</v>
      </c>
      <c r="C31" s="86">
        <v>33725</v>
      </c>
      <c r="D31" s="87">
        <v>0.245</v>
      </c>
      <c r="E31" s="343">
        <f t="shared" si="0"/>
        <v>10913.548114800849</v>
      </c>
      <c r="F31" s="341"/>
    </row>
    <row r="32" spans="1:6">
      <c r="A32" t="s">
        <v>532</v>
      </c>
      <c r="B32" s="1" t="s">
        <v>533</v>
      </c>
      <c r="C32" s="86">
        <v>33756</v>
      </c>
      <c r="D32" s="87">
        <v>0.20849999999999999</v>
      </c>
      <c r="E32" s="343">
        <f t="shared" si="0"/>
        <v>8765.7053130930508</v>
      </c>
      <c r="F32" s="341"/>
    </row>
    <row r="33" spans="1:6">
      <c r="A33" t="s">
        <v>532</v>
      </c>
      <c r="B33" s="1" t="s">
        <v>533</v>
      </c>
      <c r="C33" s="86">
        <v>33786</v>
      </c>
      <c r="D33" s="87">
        <v>0.2208</v>
      </c>
      <c r="E33" s="343">
        <f t="shared" si="0"/>
        <v>7253.20381720567</v>
      </c>
      <c r="F33" s="341"/>
    </row>
    <row r="34" spans="1:6">
      <c r="A34" t="s">
        <v>532</v>
      </c>
      <c r="B34" s="1" t="s">
        <v>533</v>
      </c>
      <c r="C34" s="86">
        <v>33817</v>
      </c>
      <c r="D34" s="87">
        <v>0.2238</v>
      </c>
      <c r="E34" s="343">
        <f t="shared" si="0"/>
        <v>5941.1721962693882</v>
      </c>
      <c r="F34" s="341"/>
    </row>
    <row r="35" spans="1:6">
      <c r="A35" t="s">
        <v>532</v>
      </c>
      <c r="B35" s="1" t="s">
        <v>533</v>
      </c>
      <c r="C35" s="86">
        <v>33848</v>
      </c>
      <c r="D35" s="87">
        <v>0.23980000000000001</v>
      </c>
      <c r="E35" s="343">
        <f t="shared" si="0"/>
        <v>4854.5092304865075</v>
      </c>
      <c r="F35" s="341"/>
    </row>
    <row r="36" spans="1:6">
      <c r="A36" t="s">
        <v>532</v>
      </c>
      <c r="B36" s="1" t="s">
        <v>533</v>
      </c>
      <c r="C36" s="86">
        <v>33878</v>
      </c>
      <c r="D36" s="87">
        <v>0.26069999999999999</v>
      </c>
      <c r="E36" s="343">
        <f t="shared" si="0"/>
        <v>3915.3649221539827</v>
      </c>
      <c r="F36" s="341"/>
    </row>
    <row r="37" spans="1:6">
      <c r="A37" t="s">
        <v>532</v>
      </c>
      <c r="B37" s="1" t="s">
        <v>533</v>
      </c>
      <c r="C37" s="86">
        <v>33909</v>
      </c>
      <c r="D37" s="87">
        <v>0.22889999999999999</v>
      </c>
      <c r="E37" s="343">
        <f t="shared" si="0"/>
        <v>3105.5002951963061</v>
      </c>
      <c r="F37" s="341"/>
    </row>
    <row r="38" spans="1:6">
      <c r="A38" t="s">
        <v>532</v>
      </c>
      <c r="B38" s="1" t="s">
        <v>533</v>
      </c>
      <c r="C38" s="86">
        <v>33939</v>
      </c>
      <c r="D38" s="87">
        <v>0.25580000000000003</v>
      </c>
      <c r="E38" s="343">
        <f t="shared" si="0"/>
        <v>2526.8706934626953</v>
      </c>
      <c r="F38" s="341"/>
    </row>
    <row r="39" spans="1:6">
      <c r="A39" t="s">
        <v>532</v>
      </c>
      <c r="B39" s="1" t="s">
        <v>533</v>
      </c>
      <c r="C39" s="86">
        <v>33970</v>
      </c>
      <c r="D39" s="87">
        <v>0.28770000000000001</v>
      </c>
      <c r="E39" s="343">
        <f t="shared" si="0"/>
        <v>2011.9564369029265</v>
      </c>
      <c r="F39" s="341"/>
    </row>
    <row r="40" spans="1:6">
      <c r="A40" t="s">
        <v>532</v>
      </c>
      <c r="B40" s="1" t="s">
        <v>533</v>
      </c>
      <c r="C40" s="86">
        <v>34001</v>
      </c>
      <c r="D40" s="87">
        <v>0.24789999999999998</v>
      </c>
      <c r="E40" s="343">
        <f t="shared" si="0"/>
        <v>1562.2184801606945</v>
      </c>
      <c r="F40" s="341"/>
    </row>
    <row r="41" spans="1:6">
      <c r="A41" t="s">
        <v>532</v>
      </c>
      <c r="B41" s="1" t="s">
        <v>533</v>
      </c>
      <c r="C41" s="86">
        <v>34029</v>
      </c>
      <c r="D41" s="87">
        <v>0.27579999999999999</v>
      </c>
      <c r="E41" s="343">
        <f t="shared" si="0"/>
        <v>1251.6792853279064</v>
      </c>
      <c r="F41" s="341"/>
    </row>
    <row r="42" spans="1:6">
      <c r="A42" t="s">
        <v>532</v>
      </c>
      <c r="B42" s="1" t="s">
        <v>533</v>
      </c>
      <c r="C42" s="86">
        <v>34060</v>
      </c>
      <c r="D42" s="87">
        <v>0.28370000000000001</v>
      </c>
      <c r="E42" s="343">
        <f t="shared" si="0"/>
        <v>980.8774771342737</v>
      </c>
      <c r="F42" s="341"/>
    </row>
    <row r="43" spans="1:6">
      <c r="A43" t="s">
        <v>532</v>
      </c>
      <c r="B43" s="1" t="s">
        <v>533</v>
      </c>
      <c r="C43" s="86">
        <v>34090</v>
      </c>
      <c r="D43" s="87">
        <v>0.26779999999999998</v>
      </c>
      <c r="E43" s="343">
        <f t="shared" si="0"/>
        <v>763.88079546176959</v>
      </c>
      <c r="F43" s="341"/>
    </row>
    <row r="44" spans="1:6">
      <c r="A44" t="s">
        <v>532</v>
      </c>
      <c r="B44" s="1" t="s">
        <v>533</v>
      </c>
      <c r="C44" s="86">
        <v>34121</v>
      </c>
      <c r="D44" s="87">
        <v>0.30370000000000003</v>
      </c>
      <c r="E44" s="343">
        <f t="shared" si="0"/>
        <v>602.31345280152198</v>
      </c>
      <c r="F44" s="341"/>
    </row>
    <row r="45" spans="1:6">
      <c r="A45" t="s">
        <v>532</v>
      </c>
      <c r="B45" s="1" t="s">
        <v>533</v>
      </c>
      <c r="C45" s="86">
        <v>34151</v>
      </c>
      <c r="D45" s="87">
        <v>0.31009999999999999</v>
      </c>
      <c r="E45" s="343">
        <f t="shared" si="0"/>
        <v>461.77015632547511</v>
      </c>
      <c r="F45" s="341"/>
    </row>
    <row r="46" spans="1:6">
      <c r="A46" t="s">
        <v>455</v>
      </c>
      <c r="B46" s="1" t="s">
        <v>534</v>
      </c>
      <c r="C46" s="86">
        <v>34182</v>
      </c>
      <c r="D46" s="87">
        <v>0.33339999999999997</v>
      </c>
      <c r="E46" s="343">
        <f t="shared" si="0"/>
        <v>352.23269698914214</v>
      </c>
      <c r="F46" s="341"/>
    </row>
    <row r="47" spans="1:6">
      <c r="A47" t="s">
        <v>455</v>
      </c>
      <c r="B47" s="1" t="s">
        <v>534</v>
      </c>
      <c r="C47" s="86">
        <v>34213</v>
      </c>
      <c r="D47" s="87">
        <v>0.35630000000000001</v>
      </c>
      <c r="E47" s="343">
        <f t="shared" si="0"/>
        <v>263.9112771779977</v>
      </c>
      <c r="F47" s="341"/>
    </row>
    <row r="48" spans="1:6">
      <c r="A48" t="s">
        <v>455</v>
      </c>
      <c r="B48" s="1" t="s">
        <v>534</v>
      </c>
      <c r="C48" s="86">
        <v>34243</v>
      </c>
      <c r="D48" s="87">
        <v>0.34119999999999995</v>
      </c>
      <c r="E48" s="343">
        <f t="shared" si="0"/>
        <v>194.31908661652855</v>
      </c>
      <c r="F48" s="341"/>
    </row>
    <row r="49" spans="1:6">
      <c r="A49" t="s">
        <v>455</v>
      </c>
      <c r="B49" s="1" t="s">
        <v>534</v>
      </c>
      <c r="C49" s="86">
        <v>34274</v>
      </c>
      <c r="D49" s="87">
        <v>0.36</v>
      </c>
      <c r="E49" s="343">
        <f t="shared" si="0"/>
        <v>144.63009738780835</v>
      </c>
      <c r="F49" s="341"/>
    </row>
    <row r="50" spans="1:6">
      <c r="A50" t="s">
        <v>455</v>
      </c>
      <c r="B50" s="1" t="s">
        <v>534</v>
      </c>
      <c r="C50" s="86">
        <v>34304</v>
      </c>
      <c r="D50" s="87">
        <v>0.37730000000000002</v>
      </c>
      <c r="E50" s="343">
        <f t="shared" ref="E50:E114" si="1">(1+E51)*(1+D50)-1</f>
        <v>106.08095396162379</v>
      </c>
      <c r="F50" s="341"/>
    </row>
    <row r="51" spans="1:6">
      <c r="A51" t="s">
        <v>455</v>
      </c>
      <c r="B51" s="1" t="s">
        <v>534</v>
      </c>
      <c r="C51" s="86">
        <v>34335</v>
      </c>
      <c r="D51" s="87">
        <v>0.41320000000000001</v>
      </c>
      <c r="E51" s="343">
        <f t="shared" si="1"/>
        <v>76.747007886171346</v>
      </c>
      <c r="F51" s="341"/>
    </row>
    <row r="52" spans="1:6">
      <c r="A52" t="s">
        <v>455</v>
      </c>
      <c r="B52" s="1" t="s">
        <v>534</v>
      </c>
      <c r="C52" s="86">
        <v>34366</v>
      </c>
      <c r="D52" s="87">
        <v>0.40570000000000001</v>
      </c>
      <c r="E52" s="529">
        <f t="shared" si="1"/>
        <v>54.014865472807351</v>
      </c>
      <c r="F52" s="341"/>
    </row>
    <row r="53" spans="1:6">
      <c r="A53" t="s">
        <v>455</v>
      </c>
      <c r="B53" s="1" t="s">
        <v>534</v>
      </c>
      <c r="C53" s="86">
        <v>34394</v>
      </c>
      <c r="D53" s="87">
        <v>0.43079999999999996</v>
      </c>
      <c r="E53" s="343">
        <f t="shared" si="1"/>
        <v>38.136989025259552</v>
      </c>
      <c r="F53" s="341"/>
    </row>
    <row r="54" spans="1:6">
      <c r="A54" t="s">
        <v>455</v>
      </c>
      <c r="B54" s="1" t="s">
        <v>534</v>
      </c>
      <c r="C54" s="86">
        <v>34425</v>
      </c>
      <c r="D54" s="87">
        <v>0.42859999999999998</v>
      </c>
      <c r="E54" s="343">
        <f t="shared" si="1"/>
        <v>26.353221292465438</v>
      </c>
      <c r="F54" s="341"/>
    </row>
    <row r="55" spans="1:6">
      <c r="A55" t="s">
        <v>455</v>
      </c>
      <c r="B55" s="1" t="s">
        <v>534</v>
      </c>
      <c r="C55" s="86">
        <v>34455</v>
      </c>
      <c r="D55" s="87">
        <v>0.42729999999999996</v>
      </c>
      <c r="E55" s="343">
        <f t="shared" si="1"/>
        <v>18.146871967286462</v>
      </c>
      <c r="F55" s="341"/>
    </row>
    <row r="56" spans="1:6">
      <c r="A56" t="s">
        <v>455</v>
      </c>
      <c r="B56" s="1" t="s">
        <v>534</v>
      </c>
      <c r="C56" s="86">
        <v>34486</v>
      </c>
      <c r="D56" s="87">
        <v>0.4824</v>
      </c>
      <c r="E56" s="343">
        <f t="shared" si="1"/>
        <v>12.414749504159225</v>
      </c>
      <c r="F56" s="341"/>
    </row>
    <row r="57" spans="1:6">
      <c r="A57" t="s">
        <v>482</v>
      </c>
      <c r="C57" s="86">
        <v>34516</v>
      </c>
      <c r="D57" s="87">
        <v>7.7499999999999999E-2</v>
      </c>
      <c r="E57" s="343">
        <f t="shared" si="1"/>
        <v>8.0493453212083281</v>
      </c>
      <c r="F57" s="341"/>
    </row>
    <row r="58" spans="1:6">
      <c r="A58" t="s">
        <v>482</v>
      </c>
      <c r="C58" s="86">
        <v>34547</v>
      </c>
      <c r="D58" s="87">
        <v>1.8500000000000003E-2</v>
      </c>
      <c r="E58" s="343">
        <f t="shared" si="1"/>
        <v>7.3984643352281481</v>
      </c>
      <c r="F58" s="341"/>
    </row>
    <row r="59" spans="1:6">
      <c r="A59" t="s">
        <v>482</v>
      </c>
      <c r="C59" s="86">
        <v>34578</v>
      </c>
      <c r="D59" s="87">
        <v>1.3999999999999999E-2</v>
      </c>
      <c r="E59" s="343">
        <f t="shared" si="1"/>
        <v>7.2459149094041706</v>
      </c>
      <c r="F59" s="341"/>
    </row>
    <row r="60" spans="1:6">
      <c r="A60" t="s">
        <v>482</v>
      </c>
      <c r="C60" s="86">
        <v>34608</v>
      </c>
      <c r="D60" s="87">
        <v>2.8199999999999999E-2</v>
      </c>
      <c r="E60" s="343">
        <f t="shared" si="1"/>
        <v>7.1320659856056903</v>
      </c>
      <c r="F60" s="341"/>
    </row>
    <row r="61" spans="1:6">
      <c r="A61" t="s">
        <v>482</v>
      </c>
      <c r="C61" s="86">
        <v>34639</v>
      </c>
      <c r="D61" s="87">
        <v>2.9600000000000001E-2</v>
      </c>
      <c r="E61" s="343">
        <f t="shared" si="1"/>
        <v>6.9090313028649</v>
      </c>
      <c r="F61" s="341"/>
    </row>
    <row r="62" spans="1:6">
      <c r="A62" t="s">
        <v>482</v>
      </c>
      <c r="C62" s="86">
        <v>34669</v>
      </c>
      <c r="D62" s="87">
        <v>1.7000000000000001E-2</v>
      </c>
      <c r="E62" s="343">
        <f t="shared" si="1"/>
        <v>6.681654334561868</v>
      </c>
      <c r="F62" s="341"/>
    </row>
    <row r="63" spans="1:6">
      <c r="A63" t="s">
        <v>482</v>
      </c>
      <c r="C63" s="86">
        <v>34700</v>
      </c>
      <c r="D63" s="87">
        <v>1.44E-2</v>
      </c>
      <c r="E63" s="343">
        <f t="shared" si="1"/>
        <v>6.5532490998641775</v>
      </c>
      <c r="F63" s="341"/>
    </row>
    <row r="64" spans="1:6">
      <c r="A64" t="s">
        <v>482</v>
      </c>
      <c r="C64" s="86">
        <v>34731</v>
      </c>
      <c r="D64" s="87">
        <v>1.01E-2</v>
      </c>
      <c r="E64" s="343">
        <f t="shared" si="1"/>
        <v>6.446026320844024</v>
      </c>
      <c r="F64" s="341"/>
    </row>
    <row r="65" spans="1:6">
      <c r="A65" t="s">
        <v>482</v>
      </c>
      <c r="C65" s="86">
        <v>34759</v>
      </c>
      <c r="D65" s="87">
        <v>1.6200000000000003E-2</v>
      </c>
      <c r="E65" s="343">
        <f t="shared" si="1"/>
        <v>6.3715734292090129</v>
      </c>
      <c r="F65" s="341"/>
    </row>
    <row r="66" spans="1:6">
      <c r="A66" t="s">
        <v>482</v>
      </c>
      <c r="C66" s="86">
        <v>34790</v>
      </c>
      <c r="D66" s="87">
        <v>2.4900000000000002E-2</v>
      </c>
      <c r="E66" s="343">
        <f t="shared" si="1"/>
        <v>6.2540576945571864</v>
      </c>
      <c r="F66" s="341"/>
    </row>
    <row r="67" spans="1:6">
      <c r="A67" t="s">
        <v>482</v>
      </c>
      <c r="C67" s="86">
        <v>34820</v>
      </c>
      <c r="D67" s="87">
        <v>2.1000000000000001E-2</v>
      </c>
      <c r="E67" s="343">
        <f t="shared" si="1"/>
        <v>6.0778199771267314</v>
      </c>
      <c r="F67" s="341"/>
    </row>
    <row r="68" spans="1:6">
      <c r="A68" t="s">
        <v>482</v>
      </c>
      <c r="C68" s="86">
        <v>34851</v>
      </c>
      <c r="D68" s="87">
        <v>2.18E-2</v>
      </c>
      <c r="E68" s="343">
        <f t="shared" si="1"/>
        <v>5.9322428767157023</v>
      </c>
      <c r="F68" s="341"/>
    </row>
    <row r="69" spans="1:6">
      <c r="A69" t="s">
        <v>482</v>
      </c>
      <c r="C69" s="86">
        <v>34881</v>
      </c>
      <c r="D69" s="87">
        <v>2.46E-2</v>
      </c>
      <c r="E69" s="343">
        <f t="shared" si="1"/>
        <v>5.7843441737284227</v>
      </c>
      <c r="F69" s="341"/>
    </row>
    <row r="70" spans="1:6">
      <c r="A70" t="s">
        <v>482</v>
      </c>
      <c r="C70" s="86">
        <v>34912</v>
      </c>
      <c r="D70" s="87">
        <v>1.0200000000000001E-2</v>
      </c>
      <c r="E70" s="343">
        <f t="shared" si="1"/>
        <v>5.6214563475780039</v>
      </c>
      <c r="F70" s="341"/>
    </row>
    <row r="71" spans="1:6">
      <c r="A71" t="s">
        <v>482</v>
      </c>
      <c r="C71" s="86">
        <v>34943</v>
      </c>
      <c r="D71" s="87">
        <v>1.1699999999999999E-2</v>
      </c>
      <c r="E71" s="343">
        <f t="shared" si="1"/>
        <v>5.5545994333577546</v>
      </c>
      <c r="F71" s="341"/>
    </row>
    <row r="72" spans="1:6">
      <c r="A72" t="s">
        <v>482</v>
      </c>
      <c r="C72" s="86">
        <v>34973</v>
      </c>
      <c r="D72" s="87">
        <v>1.3999999999999999E-2</v>
      </c>
      <c r="E72" s="343">
        <f t="shared" si="1"/>
        <v>5.4787975025775966</v>
      </c>
      <c r="F72" s="341"/>
    </row>
    <row r="73" spans="1:6">
      <c r="A73" t="s">
        <v>482</v>
      </c>
      <c r="C73" s="86">
        <v>35004</v>
      </c>
      <c r="D73" s="87">
        <v>1.5100000000000001E-2</v>
      </c>
      <c r="E73" s="343">
        <f t="shared" si="1"/>
        <v>5.3893466494848088</v>
      </c>
      <c r="F73" s="341"/>
    </row>
    <row r="74" spans="1:6">
      <c r="A74" t="s">
        <v>482</v>
      </c>
      <c r="C74" s="86">
        <v>35034</v>
      </c>
      <c r="D74" s="87">
        <v>1.6500000000000001E-2</v>
      </c>
      <c r="E74" s="343">
        <f t="shared" si="1"/>
        <v>5.2943026790314347</v>
      </c>
      <c r="F74" s="341"/>
    </row>
    <row r="75" spans="1:6">
      <c r="A75" t="s">
        <v>482</v>
      </c>
      <c r="C75" s="86">
        <v>35065</v>
      </c>
      <c r="D75" s="87">
        <v>1.46E-2</v>
      </c>
      <c r="E75" s="343">
        <f t="shared" si="1"/>
        <v>5.1921324928986081</v>
      </c>
      <c r="F75" s="341"/>
    </row>
    <row r="76" spans="1:6">
      <c r="A76" t="s">
        <v>482</v>
      </c>
      <c r="C76" s="86">
        <v>35096</v>
      </c>
      <c r="D76" s="87">
        <v>7.0999999999999995E-3</v>
      </c>
      <c r="E76" s="343">
        <f t="shared" si="1"/>
        <v>5.1030282800104558</v>
      </c>
      <c r="F76" s="341"/>
    </row>
    <row r="77" spans="1:6">
      <c r="A77" t="s">
        <v>482</v>
      </c>
      <c r="C77" s="86">
        <v>35125</v>
      </c>
      <c r="D77" s="87">
        <v>2.8999999999999998E-3</v>
      </c>
      <c r="E77" s="343">
        <f t="shared" si="1"/>
        <v>5.0600022639365063</v>
      </c>
      <c r="F77" s="341"/>
    </row>
    <row r="78" spans="1:6">
      <c r="A78" t="s">
        <v>482</v>
      </c>
      <c r="C78" s="86">
        <v>35156</v>
      </c>
      <c r="D78" s="87">
        <v>9.300000000000001E-3</v>
      </c>
      <c r="E78" s="343">
        <f t="shared" si="1"/>
        <v>5.0424790746201085</v>
      </c>
      <c r="F78" s="341"/>
    </row>
    <row r="79" spans="1:6">
      <c r="A79" t="s">
        <v>482</v>
      </c>
      <c r="C79" s="86">
        <v>35186</v>
      </c>
      <c r="D79" s="87">
        <v>1.2800000000000001E-2</v>
      </c>
      <c r="E79" s="343">
        <f t="shared" si="1"/>
        <v>4.9868018177153548</v>
      </c>
      <c r="F79" s="341"/>
    </row>
    <row r="80" spans="1:6">
      <c r="A80" t="s">
        <v>482</v>
      </c>
      <c r="C80" s="86">
        <v>35217</v>
      </c>
      <c r="D80" s="87">
        <v>1.3300000000000001E-2</v>
      </c>
      <c r="E80" s="343">
        <f t="shared" si="1"/>
        <v>4.9111392355009436</v>
      </c>
      <c r="F80" s="341"/>
    </row>
    <row r="81" spans="1:6">
      <c r="A81" t="s">
        <v>482</v>
      </c>
      <c r="C81" s="86">
        <v>35247</v>
      </c>
      <c r="D81" s="87">
        <v>1.2E-2</v>
      </c>
      <c r="E81" s="343">
        <f t="shared" si="1"/>
        <v>4.833552980855564</v>
      </c>
      <c r="F81" s="341"/>
    </row>
    <row r="82" spans="1:6">
      <c r="A82" t="s">
        <v>482</v>
      </c>
      <c r="C82" s="86">
        <v>35278</v>
      </c>
      <c r="D82" s="87">
        <v>5.0000000000000001E-3</v>
      </c>
      <c r="E82" s="343">
        <f t="shared" si="1"/>
        <v>4.7643804158651815</v>
      </c>
      <c r="F82" s="341"/>
    </row>
    <row r="83" spans="1:6">
      <c r="A83" t="s">
        <v>482</v>
      </c>
      <c r="C83" s="86">
        <v>35309</v>
      </c>
      <c r="D83" s="87">
        <v>2.0000000000000001E-4</v>
      </c>
      <c r="E83" s="343">
        <f t="shared" si="1"/>
        <v>4.7357019063335146</v>
      </c>
      <c r="F83" s="341"/>
    </row>
    <row r="84" spans="1:6">
      <c r="A84" t="s">
        <v>482</v>
      </c>
      <c r="C84" s="86">
        <v>35339</v>
      </c>
      <c r="D84" s="87">
        <v>3.8E-3</v>
      </c>
      <c r="E84" s="343">
        <f t="shared" si="1"/>
        <v>4.7345549953344479</v>
      </c>
      <c r="F84" s="341"/>
    </row>
    <row r="85" spans="1:6">
      <c r="A85" t="s">
        <v>482</v>
      </c>
      <c r="C85" s="86">
        <v>35370</v>
      </c>
      <c r="D85" s="87">
        <v>3.4000000000000002E-3</v>
      </c>
      <c r="E85" s="343">
        <f t="shared" si="1"/>
        <v>4.712846179851014</v>
      </c>
      <c r="F85" s="341"/>
    </row>
    <row r="86" spans="1:6">
      <c r="A86" t="s">
        <v>482</v>
      </c>
      <c r="C86" s="86">
        <v>35400</v>
      </c>
      <c r="D86" s="87">
        <v>3.3E-3</v>
      </c>
      <c r="E86" s="343">
        <f t="shared" si="1"/>
        <v>4.6934883195644943</v>
      </c>
      <c r="F86" s="341"/>
    </row>
    <row r="87" spans="1:6">
      <c r="A87" t="s">
        <v>482</v>
      </c>
      <c r="C87" s="86">
        <v>35431</v>
      </c>
      <c r="D87" s="87">
        <v>8.1000000000000013E-3</v>
      </c>
      <c r="E87" s="343">
        <f t="shared" si="1"/>
        <v>4.6747616062638233</v>
      </c>
      <c r="F87" s="341"/>
    </row>
    <row r="88" spans="1:6">
      <c r="A88" t="s">
        <v>482</v>
      </c>
      <c r="C88" s="86">
        <v>35462</v>
      </c>
      <c r="D88" s="87">
        <v>4.5000000000000005E-3</v>
      </c>
      <c r="E88" s="343">
        <f t="shared" si="1"/>
        <v>4.6291653667928019</v>
      </c>
      <c r="F88" s="341"/>
    </row>
    <row r="89" spans="1:6">
      <c r="A89" t="s">
        <v>482</v>
      </c>
      <c r="C89" s="86">
        <v>35490</v>
      </c>
      <c r="D89" s="87">
        <v>6.8000000000000005E-3</v>
      </c>
      <c r="E89" s="343">
        <f t="shared" si="1"/>
        <v>4.6039476025811865</v>
      </c>
      <c r="F89" s="341"/>
    </row>
    <row r="90" spans="1:6">
      <c r="A90" t="s">
        <v>482</v>
      </c>
      <c r="C90" s="86">
        <v>35521</v>
      </c>
      <c r="D90" s="87">
        <v>6.0000000000000001E-3</v>
      </c>
      <c r="E90" s="343">
        <f t="shared" si="1"/>
        <v>4.5660981352614094</v>
      </c>
      <c r="F90" s="341"/>
    </row>
    <row r="91" spans="1:6">
      <c r="A91" t="s">
        <v>482</v>
      </c>
      <c r="C91" s="86">
        <v>35551</v>
      </c>
      <c r="D91" s="87">
        <v>1.1000000000000001E-3</v>
      </c>
      <c r="E91" s="343">
        <f t="shared" si="1"/>
        <v>4.5329007308761522</v>
      </c>
      <c r="F91" s="341"/>
    </row>
    <row r="92" spans="1:6">
      <c r="A92" t="s">
        <v>482</v>
      </c>
      <c r="C92" s="86">
        <v>35582</v>
      </c>
      <c r="D92" s="87">
        <v>3.4999999999999996E-3</v>
      </c>
      <c r="E92" s="343">
        <f t="shared" si="1"/>
        <v>4.5268212275258728</v>
      </c>
      <c r="F92" s="341"/>
    </row>
    <row r="93" spans="1:6">
      <c r="A93" t="s">
        <v>482</v>
      </c>
      <c r="C93" s="86">
        <v>35612</v>
      </c>
      <c r="D93" s="87">
        <v>1.8E-3</v>
      </c>
      <c r="E93" s="343">
        <f t="shared" si="1"/>
        <v>4.5075448206535853</v>
      </c>
      <c r="F93" s="341"/>
    </row>
    <row r="94" spans="1:6">
      <c r="A94" t="s">
        <v>482</v>
      </c>
      <c r="C94" s="86">
        <v>35643</v>
      </c>
      <c r="D94" s="87">
        <v>-2.9999999999999997E-4</v>
      </c>
      <c r="E94" s="343">
        <f t="shared" si="1"/>
        <v>4.4976490523593382</v>
      </c>
      <c r="F94" s="341"/>
    </row>
    <row r="95" spans="1:6">
      <c r="A95" t="s">
        <v>482</v>
      </c>
      <c r="C95" s="86">
        <v>35674</v>
      </c>
      <c r="D95" s="87">
        <v>1E-3</v>
      </c>
      <c r="E95" s="343">
        <f t="shared" si="1"/>
        <v>4.4992988420119415</v>
      </c>
      <c r="F95" s="341"/>
    </row>
    <row r="96" spans="1:6">
      <c r="A96" t="s">
        <v>482</v>
      </c>
      <c r="C96" s="86">
        <v>35704</v>
      </c>
      <c r="D96" s="87">
        <v>2.8999999999999998E-3</v>
      </c>
      <c r="E96" s="343">
        <f t="shared" si="1"/>
        <v>4.4938050369749671</v>
      </c>
      <c r="F96" s="341"/>
    </row>
    <row r="97" spans="1:6">
      <c r="A97" t="s">
        <v>482</v>
      </c>
      <c r="C97" s="86">
        <v>35735</v>
      </c>
      <c r="D97" s="87">
        <v>1.5E-3</v>
      </c>
      <c r="E97" s="343">
        <f t="shared" si="1"/>
        <v>4.4779190716671327</v>
      </c>
      <c r="F97" s="341"/>
    </row>
    <row r="98" spans="1:6">
      <c r="A98" t="s">
        <v>482</v>
      </c>
      <c r="C98" s="86">
        <v>35765</v>
      </c>
      <c r="D98" s="87">
        <v>5.6999999999999993E-3</v>
      </c>
      <c r="E98" s="343">
        <f t="shared" si="1"/>
        <v>4.4697144999172567</v>
      </c>
      <c r="F98" s="341"/>
    </row>
    <row r="99" spans="1:6">
      <c r="A99" t="s">
        <v>482</v>
      </c>
      <c r="C99" s="86">
        <v>35796</v>
      </c>
      <c r="D99" s="87">
        <v>8.5000000000000006E-3</v>
      </c>
      <c r="E99" s="343">
        <f t="shared" si="1"/>
        <v>4.4387138310800998</v>
      </c>
      <c r="F99" s="341"/>
    </row>
    <row r="100" spans="1:6">
      <c r="A100" t="s">
        <v>482</v>
      </c>
      <c r="C100" s="86">
        <v>35827</v>
      </c>
      <c r="D100" s="87">
        <v>5.4000000000000003E-3</v>
      </c>
      <c r="E100" s="343">
        <f t="shared" si="1"/>
        <v>4.3928743986912249</v>
      </c>
      <c r="F100" s="341"/>
    </row>
    <row r="101" spans="1:6">
      <c r="A101" t="s">
        <v>482</v>
      </c>
      <c r="C101" s="86">
        <v>35855</v>
      </c>
      <c r="D101" s="87">
        <v>4.8999999999999998E-3</v>
      </c>
      <c r="E101" s="343">
        <f t="shared" si="1"/>
        <v>4.3639092885331454</v>
      </c>
      <c r="F101" s="341"/>
    </row>
    <row r="102" spans="1:6">
      <c r="A102" t="s">
        <v>482</v>
      </c>
      <c r="C102" s="86">
        <v>35886</v>
      </c>
      <c r="D102" s="87">
        <v>4.5000000000000005E-3</v>
      </c>
      <c r="E102" s="343">
        <f t="shared" si="1"/>
        <v>4.3377542924998966</v>
      </c>
      <c r="F102" s="341"/>
    </row>
    <row r="103" spans="1:6">
      <c r="A103" t="s">
        <v>482</v>
      </c>
      <c r="C103" s="86">
        <v>35916</v>
      </c>
      <c r="D103" s="87">
        <v>7.1999999999999998E-3</v>
      </c>
      <c r="E103" s="343">
        <f t="shared" si="1"/>
        <v>4.3138420034842175</v>
      </c>
      <c r="F103" s="341"/>
    </row>
    <row r="104" spans="1:6">
      <c r="A104" t="s">
        <v>482</v>
      </c>
      <c r="C104" s="86">
        <v>35947</v>
      </c>
      <c r="D104" s="87">
        <v>1.5E-3</v>
      </c>
      <c r="E104" s="343">
        <f t="shared" si="1"/>
        <v>4.2758558414259502</v>
      </c>
      <c r="F104" s="341"/>
    </row>
    <row r="105" spans="1:6">
      <c r="A105" t="s">
        <v>482</v>
      </c>
      <c r="C105" s="86">
        <v>35977</v>
      </c>
      <c r="D105" s="87">
        <v>-2.8000000000000004E-3</v>
      </c>
      <c r="E105" s="343">
        <f t="shared" si="1"/>
        <v>4.2679539105601094</v>
      </c>
      <c r="F105" s="341"/>
    </row>
    <row r="106" spans="1:6">
      <c r="A106" t="s">
        <v>482</v>
      </c>
      <c r="C106" s="86">
        <v>36008</v>
      </c>
      <c r="D106" s="87">
        <v>-4.8999999999999998E-3</v>
      </c>
      <c r="E106" s="343">
        <f t="shared" si="1"/>
        <v>4.2827455982351683</v>
      </c>
      <c r="F106" s="341"/>
    </row>
    <row r="107" spans="1:6">
      <c r="A107" t="s">
        <v>482</v>
      </c>
      <c r="C107" s="86">
        <v>36039</v>
      </c>
      <c r="D107" s="87">
        <v>-3.0999999999999999E-3</v>
      </c>
      <c r="E107" s="343">
        <f t="shared" si="1"/>
        <v>4.3087585149584653</v>
      </c>
      <c r="F107" s="341"/>
    </row>
    <row r="108" spans="1:6">
      <c r="A108" t="s">
        <v>482</v>
      </c>
      <c r="C108" s="86">
        <v>36069</v>
      </c>
      <c r="D108" s="87">
        <v>1.1000000000000001E-3</v>
      </c>
      <c r="E108" s="343">
        <f t="shared" si="1"/>
        <v>4.3252668421691896</v>
      </c>
      <c r="F108" s="341"/>
    </row>
    <row r="109" spans="1:6">
      <c r="A109" t="s">
        <v>482</v>
      </c>
      <c r="C109" s="86">
        <v>36100</v>
      </c>
      <c r="D109" s="87">
        <v>-1.8E-3</v>
      </c>
      <c r="E109" s="343">
        <f t="shared" si="1"/>
        <v>4.31941548513554</v>
      </c>
      <c r="F109" s="341"/>
    </row>
    <row r="110" spans="1:6">
      <c r="A110" t="s">
        <v>482</v>
      </c>
      <c r="C110" s="86">
        <v>36130</v>
      </c>
      <c r="D110" s="87">
        <v>4.1999999999999997E-3</v>
      </c>
      <c r="E110" s="343">
        <f t="shared" si="1"/>
        <v>4.3290076989937285</v>
      </c>
      <c r="F110" s="341"/>
    </row>
    <row r="111" spans="1:6">
      <c r="A111" t="s">
        <v>482</v>
      </c>
      <c r="C111" s="95">
        <v>36161</v>
      </c>
      <c r="D111" s="87">
        <v>6.5000000000000006E-3</v>
      </c>
      <c r="E111" s="343">
        <f t="shared" si="1"/>
        <v>4.3067194771895325</v>
      </c>
      <c r="F111" s="341"/>
    </row>
    <row r="112" spans="1:6">
      <c r="A112" t="s">
        <v>482</v>
      </c>
      <c r="C112" s="95">
        <v>36192</v>
      </c>
      <c r="D112" s="87">
        <v>1.29E-2</v>
      </c>
      <c r="E112" s="343">
        <f t="shared" si="1"/>
        <v>4.2724485615395258</v>
      </c>
      <c r="F112" s="341"/>
    </row>
    <row r="113" spans="1:6">
      <c r="A113" t="s">
        <v>482</v>
      </c>
      <c r="C113" s="95">
        <v>36220</v>
      </c>
      <c r="D113" s="87">
        <v>1.2800000000000001E-2</v>
      </c>
      <c r="E113" s="343">
        <f t="shared" si="1"/>
        <v>4.2053001891001349</v>
      </c>
      <c r="F113" s="341"/>
    </row>
    <row r="114" spans="1:6">
      <c r="A114" t="s">
        <v>482</v>
      </c>
      <c r="C114" s="95">
        <v>36251</v>
      </c>
      <c r="D114" s="87">
        <v>4.6999999999999993E-3</v>
      </c>
      <c r="E114" s="343">
        <f t="shared" si="1"/>
        <v>4.1395144047197228</v>
      </c>
      <c r="F114" s="341"/>
    </row>
    <row r="115" spans="1:6">
      <c r="A115" t="s">
        <v>482</v>
      </c>
      <c r="C115" s="95">
        <v>36281</v>
      </c>
      <c r="D115" s="87">
        <v>5.0000000000000001E-4</v>
      </c>
      <c r="E115" s="343">
        <f t="shared" ref="E115:E178" si="2">(1+E116)*(1+D115)-1</f>
        <v>4.1154716877871236</v>
      </c>
      <c r="F115" s="341"/>
    </row>
    <row r="116" spans="1:6">
      <c r="A116" t="s">
        <v>482</v>
      </c>
      <c r="C116" s="95">
        <v>36312</v>
      </c>
      <c r="D116" s="87">
        <v>7.000000000000001E-4</v>
      </c>
      <c r="E116" s="343">
        <f t="shared" si="2"/>
        <v>4.112915230172038</v>
      </c>
      <c r="F116" s="341"/>
    </row>
    <row r="117" spans="1:6">
      <c r="A117" t="s">
        <v>482</v>
      </c>
      <c r="C117" s="95">
        <v>36342</v>
      </c>
      <c r="D117" s="87">
        <v>7.4000000000000003E-3</v>
      </c>
      <c r="E117" s="343">
        <f t="shared" si="2"/>
        <v>4.1093386930868778</v>
      </c>
      <c r="F117" s="341"/>
    </row>
    <row r="118" spans="1:6">
      <c r="A118" t="s">
        <v>482</v>
      </c>
      <c r="C118" s="95">
        <v>36373</v>
      </c>
      <c r="D118" s="87">
        <v>5.5000000000000005E-3</v>
      </c>
      <c r="E118" s="343">
        <f t="shared" si="2"/>
        <v>4.0718073189268189</v>
      </c>
      <c r="F118" s="341"/>
    </row>
    <row r="119" spans="1:6">
      <c r="A119" t="s">
        <v>482</v>
      </c>
      <c r="C119" s="95">
        <v>36404</v>
      </c>
      <c r="D119" s="87">
        <v>3.9000000000000003E-3</v>
      </c>
      <c r="E119" s="343">
        <f t="shared" si="2"/>
        <v>4.0440649616378108</v>
      </c>
      <c r="F119" s="341"/>
    </row>
    <row r="120" spans="1:6">
      <c r="A120" t="s">
        <v>482</v>
      </c>
      <c r="C120" s="95">
        <v>36434</v>
      </c>
      <c r="D120" s="87">
        <v>9.5999999999999992E-3</v>
      </c>
      <c r="E120" s="343">
        <f t="shared" si="2"/>
        <v>4.0244695304689815</v>
      </c>
      <c r="F120" s="341"/>
    </row>
    <row r="121" spans="1:6">
      <c r="A121" t="s">
        <v>482</v>
      </c>
      <c r="C121" s="95">
        <v>36465</v>
      </c>
      <c r="D121" s="87">
        <v>9.3999999999999986E-3</v>
      </c>
      <c r="E121" s="343">
        <f t="shared" si="2"/>
        <v>3.9766932750287056</v>
      </c>
      <c r="F121" s="341"/>
    </row>
    <row r="122" spans="1:6">
      <c r="A122" t="s">
        <v>482</v>
      </c>
      <c r="C122" s="95">
        <v>36495</v>
      </c>
      <c r="D122" s="87">
        <v>7.4000000000000003E-3</v>
      </c>
      <c r="E122" s="343">
        <f t="shared" si="2"/>
        <v>3.9303480037930507</v>
      </c>
      <c r="F122" s="341"/>
    </row>
    <row r="123" spans="1:6">
      <c r="A123" t="s">
        <v>482</v>
      </c>
      <c r="C123" s="95">
        <v>36526</v>
      </c>
      <c r="D123" s="87">
        <v>6.0999999999999995E-3</v>
      </c>
      <c r="E123" s="343">
        <f t="shared" si="2"/>
        <v>3.8941314312021547</v>
      </c>
      <c r="F123" s="341"/>
    </row>
    <row r="124" spans="1:6">
      <c r="A124" t="s">
        <v>482</v>
      </c>
      <c r="C124" s="95">
        <v>36557</v>
      </c>
      <c r="D124" s="87">
        <v>5.0000000000000001E-4</v>
      </c>
      <c r="E124" s="343">
        <f t="shared" si="2"/>
        <v>3.8644582359627817</v>
      </c>
      <c r="F124" s="341"/>
    </row>
    <row r="125" spans="1:6">
      <c r="A125" t="s">
        <v>482</v>
      </c>
      <c r="C125" s="95">
        <v>36586</v>
      </c>
      <c r="D125" s="87">
        <v>1.2999999999999999E-3</v>
      </c>
      <c r="E125" s="343">
        <f t="shared" si="2"/>
        <v>3.8620272223516059</v>
      </c>
      <c r="F125" s="341"/>
    </row>
    <row r="126" spans="1:6">
      <c r="A126" t="s">
        <v>482</v>
      </c>
      <c r="C126" s="95">
        <v>36617</v>
      </c>
      <c r="D126" s="87">
        <v>8.9999999999999998E-4</v>
      </c>
      <c r="E126" s="343">
        <f t="shared" si="2"/>
        <v>3.8557147931205487</v>
      </c>
      <c r="F126" s="341"/>
    </row>
    <row r="127" spans="1:6">
      <c r="A127" t="s">
        <v>482</v>
      </c>
      <c r="C127" s="95">
        <v>36647</v>
      </c>
      <c r="D127" s="87">
        <v>-5.0000000000000001E-4</v>
      </c>
      <c r="E127" s="343">
        <f t="shared" si="2"/>
        <v>3.8513485793990903</v>
      </c>
      <c r="F127" s="341"/>
    </row>
    <row r="128" spans="1:6">
      <c r="A128" t="s">
        <v>482</v>
      </c>
      <c r="C128" s="95">
        <v>36678</v>
      </c>
      <c r="D128" s="87">
        <v>3.0000000000000001E-3</v>
      </c>
      <c r="E128" s="343">
        <f t="shared" si="2"/>
        <v>3.8537754671326567</v>
      </c>
      <c r="F128" s="341"/>
    </row>
    <row r="129" spans="1:6">
      <c r="A129" t="s">
        <v>482</v>
      </c>
      <c r="C129" s="95">
        <v>36708</v>
      </c>
      <c r="D129" s="87">
        <v>1.3899999999999999E-2</v>
      </c>
      <c r="E129" s="343">
        <f t="shared" si="2"/>
        <v>3.8392576940505059</v>
      </c>
      <c r="F129" s="341"/>
    </row>
    <row r="130" spans="1:6">
      <c r="A130" t="s">
        <v>482</v>
      </c>
      <c r="C130" s="95">
        <v>36739</v>
      </c>
      <c r="D130" s="87">
        <v>1.21E-2</v>
      </c>
      <c r="E130" s="343">
        <f t="shared" si="2"/>
        <v>3.7729141868532459</v>
      </c>
      <c r="F130" s="341"/>
    </row>
    <row r="131" spans="1:6">
      <c r="A131" t="s">
        <v>482</v>
      </c>
      <c r="C131" s="95">
        <v>36770</v>
      </c>
      <c r="D131" s="87">
        <v>4.3E-3</v>
      </c>
      <c r="E131" s="343">
        <f t="shared" si="2"/>
        <v>3.7158523731382731</v>
      </c>
      <c r="F131" s="341"/>
    </row>
    <row r="132" spans="1:6">
      <c r="A132" t="s">
        <v>482</v>
      </c>
      <c r="C132" s="95">
        <v>36800</v>
      </c>
      <c r="D132" s="87">
        <v>1.6000000000000001E-3</v>
      </c>
      <c r="E132" s="343">
        <f t="shared" si="2"/>
        <v>3.6956610307062361</v>
      </c>
      <c r="F132" s="341"/>
    </row>
    <row r="133" spans="1:6">
      <c r="A133" t="s">
        <v>482</v>
      </c>
      <c r="C133" s="95">
        <v>36831</v>
      </c>
      <c r="D133" s="87">
        <v>2.8999999999999998E-3</v>
      </c>
      <c r="E133" s="343">
        <f t="shared" si="2"/>
        <v>3.6881599747466414</v>
      </c>
      <c r="F133" s="341"/>
    </row>
    <row r="134" spans="1:6">
      <c r="A134" t="s">
        <v>482</v>
      </c>
      <c r="C134" s="95">
        <v>36861</v>
      </c>
      <c r="D134" s="87">
        <v>5.5000000000000005E-3</v>
      </c>
      <c r="E134" s="343">
        <f t="shared" si="2"/>
        <v>3.6746036242363562</v>
      </c>
      <c r="F134" s="341"/>
    </row>
    <row r="135" spans="1:6">
      <c r="A135" t="s">
        <v>482</v>
      </c>
      <c r="C135" s="95">
        <v>36892</v>
      </c>
      <c r="D135" s="87">
        <v>7.7000000000000002E-3</v>
      </c>
      <c r="E135" s="343">
        <f t="shared" si="2"/>
        <v>3.6490339375796674</v>
      </c>
      <c r="F135" s="341"/>
    </row>
    <row r="136" spans="1:6">
      <c r="A136" t="s">
        <v>482</v>
      </c>
      <c r="C136" s="95">
        <v>36923</v>
      </c>
      <c r="D136" s="87">
        <v>4.8999999999999998E-3</v>
      </c>
      <c r="E136" s="343">
        <f t="shared" si="2"/>
        <v>3.613509911262943</v>
      </c>
      <c r="F136" s="341"/>
    </row>
    <row r="137" spans="1:6">
      <c r="A137" t="s">
        <v>482</v>
      </c>
      <c r="C137" s="95">
        <v>36951</v>
      </c>
      <c r="D137" s="87">
        <v>4.7999999999999996E-3</v>
      </c>
      <c r="E137" s="343">
        <f t="shared" si="2"/>
        <v>3.5910139429425252</v>
      </c>
      <c r="F137" s="341"/>
    </row>
    <row r="138" spans="1:6">
      <c r="A138" t="s">
        <v>482</v>
      </c>
      <c r="C138" s="95">
        <v>36982</v>
      </c>
      <c r="D138" s="87">
        <v>8.3999999999999995E-3</v>
      </c>
      <c r="E138" s="343">
        <f t="shared" si="2"/>
        <v>3.5690823476736915</v>
      </c>
      <c r="F138" s="341"/>
    </row>
    <row r="139" spans="1:6">
      <c r="A139" t="s">
        <v>482</v>
      </c>
      <c r="C139" s="95">
        <v>37012</v>
      </c>
      <c r="D139" s="87">
        <v>5.6999999999999993E-3</v>
      </c>
      <c r="E139" s="343">
        <f t="shared" si="2"/>
        <v>3.5310217648489601</v>
      </c>
      <c r="F139" s="341"/>
    </row>
    <row r="140" spans="1:6">
      <c r="A140" t="s">
        <v>482</v>
      </c>
      <c r="C140" s="95">
        <v>37043</v>
      </c>
      <c r="D140" s="87">
        <v>6.0000000000000001E-3</v>
      </c>
      <c r="E140" s="343">
        <f t="shared" si="2"/>
        <v>3.5053413193287861</v>
      </c>
      <c r="F140" s="341"/>
    </row>
    <row r="141" spans="1:6">
      <c r="A141" t="s">
        <v>482</v>
      </c>
      <c r="C141" s="95">
        <v>37073</v>
      </c>
      <c r="D141" s="87">
        <v>1.11E-2</v>
      </c>
      <c r="E141" s="343">
        <f t="shared" si="2"/>
        <v>3.4784704963506821</v>
      </c>
      <c r="F141" s="341"/>
    </row>
    <row r="142" spans="1:6">
      <c r="A142" t="s">
        <v>482</v>
      </c>
      <c r="C142" s="95">
        <v>37104</v>
      </c>
      <c r="D142" s="87">
        <v>7.9000000000000008E-3</v>
      </c>
      <c r="E142" s="343">
        <f t="shared" si="2"/>
        <v>3.4293052085359328</v>
      </c>
      <c r="F142" s="341"/>
    </row>
    <row r="143" spans="1:6">
      <c r="A143" t="s">
        <v>482</v>
      </c>
      <c r="C143" s="95">
        <v>37135</v>
      </c>
      <c r="D143" s="87">
        <v>4.4000000000000003E-3</v>
      </c>
      <c r="E143" s="343">
        <f t="shared" si="2"/>
        <v>3.3945879636233087</v>
      </c>
    </row>
    <row r="144" spans="1:6">
      <c r="A144" t="s">
        <v>482</v>
      </c>
      <c r="C144" s="95">
        <v>37165</v>
      </c>
      <c r="D144" s="87">
        <v>9.3999999999999986E-3</v>
      </c>
      <c r="E144" s="343">
        <f t="shared" si="2"/>
        <v>3.3753364830976791</v>
      </c>
    </row>
    <row r="145" spans="1:5">
      <c r="A145" t="s">
        <v>482</v>
      </c>
      <c r="C145" s="95">
        <v>37196</v>
      </c>
      <c r="D145" s="87">
        <v>1.29E-2</v>
      </c>
      <c r="E145" s="343">
        <f t="shared" si="2"/>
        <v>3.3345913246460066</v>
      </c>
    </row>
    <row r="146" spans="1:5">
      <c r="A146" t="s">
        <v>482</v>
      </c>
      <c r="C146" s="95">
        <v>37226</v>
      </c>
      <c r="D146" s="87">
        <v>7.4000000000000003E-3</v>
      </c>
      <c r="E146" s="343">
        <f t="shared" si="2"/>
        <v>3.2793872293869155</v>
      </c>
    </row>
    <row r="147" spans="1:5">
      <c r="A147" t="s">
        <v>482</v>
      </c>
      <c r="C147" s="95">
        <v>37257</v>
      </c>
      <c r="D147" s="87">
        <v>1.0700000000000001E-2</v>
      </c>
      <c r="E147" s="343">
        <f t="shared" si="2"/>
        <v>3.2479523817618769</v>
      </c>
    </row>
    <row r="148" spans="1:5">
      <c r="A148" t="s">
        <v>482</v>
      </c>
      <c r="C148" s="95">
        <v>37288</v>
      </c>
      <c r="D148" s="87">
        <v>3.0999999999999999E-3</v>
      </c>
      <c r="E148" s="343">
        <f t="shared" si="2"/>
        <v>3.2029804905133838</v>
      </c>
    </row>
    <row r="149" spans="1:5">
      <c r="A149" t="s">
        <v>482</v>
      </c>
      <c r="C149" s="95">
        <v>37316</v>
      </c>
      <c r="D149" s="87">
        <v>6.1999999999999998E-3</v>
      </c>
      <c r="E149" s="343">
        <f t="shared" si="2"/>
        <v>3.1899915168112685</v>
      </c>
    </row>
    <row r="150" spans="1:5">
      <c r="A150" t="s">
        <v>482</v>
      </c>
      <c r="C150" s="95">
        <v>37347</v>
      </c>
      <c r="D150" s="87">
        <v>6.8000000000000005E-3</v>
      </c>
      <c r="E150" s="343">
        <f t="shared" si="2"/>
        <v>3.1641736402417697</v>
      </c>
    </row>
    <row r="151" spans="1:5">
      <c r="A151" t="s">
        <v>482</v>
      </c>
      <c r="C151" s="95">
        <v>37377</v>
      </c>
      <c r="D151" s="87">
        <v>8.9999999999999998E-4</v>
      </c>
      <c r="E151" s="343">
        <f t="shared" si="2"/>
        <v>3.1360485103712454</v>
      </c>
    </row>
    <row r="152" spans="1:5">
      <c r="A152" t="s">
        <v>482</v>
      </c>
      <c r="C152" s="95">
        <v>37408</v>
      </c>
      <c r="D152" s="87">
        <v>6.0999999999999995E-3</v>
      </c>
      <c r="E152" s="343">
        <f t="shared" si="2"/>
        <v>3.132329413898737</v>
      </c>
    </row>
    <row r="153" spans="1:5">
      <c r="A153" t="s">
        <v>482</v>
      </c>
      <c r="C153" s="95">
        <v>37438</v>
      </c>
      <c r="D153" s="87">
        <v>1.15E-2</v>
      </c>
      <c r="E153" s="343">
        <f t="shared" si="2"/>
        <v>3.1072750361780512</v>
      </c>
    </row>
    <row r="154" spans="1:5">
      <c r="A154" t="s">
        <v>482</v>
      </c>
      <c r="C154" s="95">
        <v>37469</v>
      </c>
      <c r="D154" s="87">
        <v>8.6E-3</v>
      </c>
      <c r="E154" s="343">
        <f t="shared" si="2"/>
        <v>3.0605783847533869</v>
      </c>
    </row>
    <row r="155" spans="1:5">
      <c r="A155" t="s">
        <v>482</v>
      </c>
      <c r="C155" s="95">
        <v>37500</v>
      </c>
      <c r="D155" s="87">
        <v>8.3000000000000001E-3</v>
      </c>
      <c r="E155" s="343">
        <f t="shared" si="2"/>
        <v>3.0259551702889027</v>
      </c>
    </row>
    <row r="156" spans="1:5">
      <c r="A156" t="s">
        <v>482</v>
      </c>
      <c r="C156" s="95">
        <v>37530</v>
      </c>
      <c r="D156" s="87">
        <v>1.5700000000000002E-2</v>
      </c>
      <c r="E156" s="343">
        <f t="shared" si="2"/>
        <v>2.9928148073875858</v>
      </c>
    </row>
    <row r="157" spans="1:5">
      <c r="A157" t="s">
        <v>482</v>
      </c>
      <c r="C157" s="95">
        <v>37561</v>
      </c>
      <c r="D157" s="87">
        <v>3.39E-2</v>
      </c>
      <c r="E157" s="343">
        <f t="shared" si="2"/>
        <v>2.9310965909102942</v>
      </c>
    </row>
    <row r="158" spans="1:5">
      <c r="A158" t="s">
        <v>482</v>
      </c>
      <c r="C158" s="95">
        <v>37591</v>
      </c>
      <c r="D158" s="87">
        <v>2.7000000000000003E-2</v>
      </c>
      <c r="E158" s="343">
        <f t="shared" si="2"/>
        <v>2.8022019449756206</v>
      </c>
    </row>
    <row r="159" spans="1:5">
      <c r="A159" t="s">
        <v>482</v>
      </c>
      <c r="C159" s="95">
        <v>37622</v>
      </c>
      <c r="D159" s="87">
        <v>2.4700000000000003E-2</v>
      </c>
      <c r="E159" s="343">
        <f t="shared" si="2"/>
        <v>2.7022414264611694</v>
      </c>
    </row>
    <row r="160" spans="1:5">
      <c r="A160" t="s">
        <v>482</v>
      </c>
      <c r="C160" s="95">
        <v>37653</v>
      </c>
      <c r="D160" s="87">
        <v>1.46E-2</v>
      </c>
      <c r="E160" s="343">
        <f t="shared" si="2"/>
        <v>2.6130003185919484</v>
      </c>
    </row>
    <row r="161" spans="1:5">
      <c r="A161" t="s">
        <v>482</v>
      </c>
      <c r="C161" s="95">
        <v>37681</v>
      </c>
      <c r="D161" s="87">
        <v>1.37E-2</v>
      </c>
      <c r="E161" s="343">
        <f t="shared" si="2"/>
        <v>2.5610095787423108</v>
      </c>
    </row>
    <row r="162" spans="1:5">
      <c r="A162" t="s">
        <v>482</v>
      </c>
      <c r="C162" s="95">
        <v>37712</v>
      </c>
      <c r="D162" s="87">
        <v>1.38E-2</v>
      </c>
      <c r="E162" s="343">
        <f t="shared" si="2"/>
        <v>2.5128830805389275</v>
      </c>
    </row>
    <row r="163" spans="1:5">
      <c r="A163" t="s">
        <v>482</v>
      </c>
      <c r="C163" s="95">
        <v>37742</v>
      </c>
      <c r="D163" s="87">
        <v>9.8999999999999991E-3</v>
      </c>
      <c r="E163" s="343">
        <f t="shared" si="2"/>
        <v>2.4650651810405675</v>
      </c>
    </row>
    <row r="164" spans="1:5">
      <c r="A164" t="s">
        <v>482</v>
      </c>
      <c r="C164" s="95">
        <v>37773</v>
      </c>
      <c r="D164" s="87">
        <v>-5.9999999999999995E-4</v>
      </c>
      <c r="E164" s="343">
        <f t="shared" si="2"/>
        <v>2.4310973175963633</v>
      </c>
    </row>
    <row r="165" spans="1:5">
      <c r="A165" t="s">
        <v>482</v>
      </c>
      <c r="C165" s="95">
        <v>37803</v>
      </c>
      <c r="D165" s="87">
        <v>4.0000000000000002E-4</v>
      </c>
      <c r="E165" s="343">
        <f t="shared" si="2"/>
        <v>2.4331572119235174</v>
      </c>
    </row>
    <row r="166" spans="1:5">
      <c r="A166" t="s">
        <v>482</v>
      </c>
      <c r="C166" s="95">
        <v>37834</v>
      </c>
      <c r="D166" s="87">
        <v>1.8E-3</v>
      </c>
      <c r="E166" s="343">
        <f t="shared" si="2"/>
        <v>2.431784498124268</v>
      </c>
    </row>
    <row r="167" spans="1:5">
      <c r="A167" t="s">
        <v>482</v>
      </c>
      <c r="C167" s="95">
        <v>37865</v>
      </c>
      <c r="D167" s="87">
        <v>8.199999999999999E-3</v>
      </c>
      <c r="E167" s="343">
        <f t="shared" si="2"/>
        <v>2.4256183850312119</v>
      </c>
    </row>
    <row r="168" spans="1:5">
      <c r="A168" t="s">
        <v>482</v>
      </c>
      <c r="C168" s="95">
        <v>37895</v>
      </c>
      <c r="D168" s="87">
        <v>3.9000000000000003E-3</v>
      </c>
      <c r="E168" s="343">
        <f t="shared" si="2"/>
        <v>2.3977567794398054</v>
      </c>
    </row>
    <row r="169" spans="1:5">
      <c r="A169" t="s">
        <v>482</v>
      </c>
      <c r="C169" s="95">
        <v>37926</v>
      </c>
      <c r="D169" s="87">
        <v>3.7000000000000002E-3</v>
      </c>
      <c r="E169" s="343">
        <f t="shared" si="2"/>
        <v>2.3845570071120683</v>
      </c>
    </row>
    <row r="170" spans="1:5">
      <c r="A170" t="s">
        <v>482</v>
      </c>
      <c r="C170" s="95">
        <v>37956</v>
      </c>
      <c r="D170" s="87">
        <v>5.4000000000000003E-3</v>
      </c>
      <c r="E170" s="343">
        <f t="shared" si="2"/>
        <v>2.372080309965197</v>
      </c>
    </row>
    <row r="171" spans="1:5">
      <c r="A171" t="s">
        <v>482</v>
      </c>
      <c r="C171" s="95">
        <v>37987</v>
      </c>
      <c r="D171" s="87">
        <v>8.3000000000000001E-3</v>
      </c>
      <c r="E171" s="343">
        <f t="shared" si="2"/>
        <v>2.3539688780238679</v>
      </c>
    </row>
    <row r="172" spans="1:5">
      <c r="A172" t="s">
        <v>482</v>
      </c>
      <c r="C172" s="95">
        <v>38018</v>
      </c>
      <c r="D172" s="87">
        <v>3.9000000000000003E-3</v>
      </c>
      <c r="E172" s="343">
        <f t="shared" si="2"/>
        <v>2.3263600892828205</v>
      </c>
    </row>
    <row r="173" spans="1:5">
      <c r="A173" t="s">
        <v>482</v>
      </c>
      <c r="C173" s="95">
        <v>38047</v>
      </c>
      <c r="D173" s="87">
        <v>5.6999999999999993E-3</v>
      </c>
      <c r="E173" s="343">
        <f t="shared" si="2"/>
        <v>2.3134376823217657</v>
      </c>
    </row>
    <row r="174" spans="1:5">
      <c r="A174" t="s">
        <v>482</v>
      </c>
      <c r="C174" s="95">
        <v>38078</v>
      </c>
      <c r="D174" s="87">
        <v>4.0999999999999995E-3</v>
      </c>
      <c r="E174" s="343">
        <f t="shared" si="2"/>
        <v>2.2946581309752068</v>
      </c>
    </row>
    <row r="175" spans="1:5">
      <c r="A175" t="s">
        <v>482</v>
      </c>
      <c r="C175" s="95">
        <v>38108</v>
      </c>
      <c r="D175" s="87">
        <v>4.0000000000000001E-3</v>
      </c>
      <c r="E175" s="343">
        <f t="shared" si="2"/>
        <v>2.2812051896974475</v>
      </c>
    </row>
    <row r="176" spans="1:5">
      <c r="A176" t="s">
        <v>482</v>
      </c>
      <c r="C176" s="95">
        <v>38139</v>
      </c>
      <c r="D176" s="87">
        <v>5.0000000000000001E-3</v>
      </c>
      <c r="E176" s="343">
        <f t="shared" si="2"/>
        <v>2.2681326590612025</v>
      </c>
    </row>
    <row r="177" spans="1:5">
      <c r="A177" t="s">
        <v>482</v>
      </c>
      <c r="C177" s="95">
        <v>38169</v>
      </c>
      <c r="D177" s="87">
        <v>7.3000000000000001E-3</v>
      </c>
      <c r="E177" s="343">
        <f t="shared" si="2"/>
        <v>2.2518732925982117</v>
      </c>
    </row>
    <row r="178" spans="1:5">
      <c r="A178" t="s">
        <v>482</v>
      </c>
      <c r="C178" s="95">
        <v>38200</v>
      </c>
      <c r="D178" s="87">
        <v>5.0000000000000001E-3</v>
      </c>
      <c r="E178" s="343">
        <f t="shared" si="2"/>
        <v>2.2283066540238372</v>
      </c>
    </row>
    <row r="179" spans="1:5">
      <c r="A179" t="s">
        <v>482</v>
      </c>
      <c r="C179" s="95">
        <v>38231</v>
      </c>
      <c r="D179" s="87">
        <v>1.7000000000000001E-3</v>
      </c>
      <c r="E179" s="343">
        <f t="shared" ref="E179:E226" si="3">(1+E180)*(1+D179)-1</f>
        <v>2.2122454268893907</v>
      </c>
    </row>
    <row r="180" spans="1:5">
      <c r="A180" t="s">
        <v>482</v>
      </c>
      <c r="C180" s="95">
        <v>38261</v>
      </c>
      <c r="D180" s="87">
        <v>1.7000000000000001E-3</v>
      </c>
      <c r="E180" s="343">
        <f t="shared" si="3"/>
        <v>2.2067938772979843</v>
      </c>
    </row>
    <row r="181" spans="1:5">
      <c r="A181" t="s">
        <v>482</v>
      </c>
      <c r="C181" s="95">
        <v>38292</v>
      </c>
      <c r="D181" s="87">
        <v>4.4000000000000003E-3</v>
      </c>
      <c r="E181" s="343">
        <f t="shared" si="3"/>
        <v>2.2013515796126426</v>
      </c>
    </row>
    <row r="182" spans="1:5">
      <c r="A182" t="s">
        <v>482</v>
      </c>
      <c r="C182" s="95">
        <v>38322</v>
      </c>
      <c r="D182" s="87">
        <v>8.6E-3</v>
      </c>
      <c r="E182" s="343">
        <f t="shared" si="3"/>
        <v>2.1873273393196362</v>
      </c>
    </row>
    <row r="183" spans="1:5">
      <c r="A183" t="s">
        <v>482</v>
      </c>
      <c r="C183" s="95">
        <v>38353</v>
      </c>
      <c r="D183" s="87">
        <v>5.6999999999999993E-3</v>
      </c>
      <c r="E183" s="343">
        <f t="shared" si="3"/>
        <v>2.1601500488991041</v>
      </c>
    </row>
    <row r="184" spans="1:5">
      <c r="A184" t="s">
        <v>482</v>
      </c>
      <c r="C184" s="95">
        <v>38384</v>
      </c>
      <c r="D184" s="87">
        <v>4.4000000000000003E-3</v>
      </c>
      <c r="E184" s="343">
        <f t="shared" si="3"/>
        <v>2.1422392849747478</v>
      </c>
    </row>
    <row r="185" spans="1:5">
      <c r="A185" t="s">
        <v>482</v>
      </c>
      <c r="C185" s="95">
        <v>38412</v>
      </c>
      <c r="D185" s="87">
        <v>7.3000000000000001E-3</v>
      </c>
      <c r="E185" s="343">
        <f t="shared" si="3"/>
        <v>2.128473999377487</v>
      </c>
    </row>
    <row r="186" spans="1:5">
      <c r="A186" t="s">
        <v>482</v>
      </c>
      <c r="C186" s="95">
        <v>38443</v>
      </c>
      <c r="D186" s="87">
        <v>9.1000000000000004E-3</v>
      </c>
      <c r="E186" s="343">
        <f t="shared" si="3"/>
        <v>2.1058016473518184</v>
      </c>
    </row>
    <row r="187" spans="1:5">
      <c r="A187" t="s">
        <v>482</v>
      </c>
      <c r="C187" s="95">
        <v>38473</v>
      </c>
      <c r="D187" s="87">
        <v>6.9999999999999993E-3</v>
      </c>
      <c r="E187" s="343">
        <f t="shared" si="3"/>
        <v>2.077793724459239</v>
      </c>
    </row>
    <row r="188" spans="1:5">
      <c r="A188" t="s">
        <v>482</v>
      </c>
      <c r="C188" s="95">
        <v>38504</v>
      </c>
      <c r="D188" s="87">
        <v>-1.1000000000000001E-3</v>
      </c>
      <c r="E188" s="343">
        <f t="shared" si="3"/>
        <v>2.0563989319356897</v>
      </c>
    </row>
    <row r="189" spans="1:5">
      <c r="A189" t="s">
        <v>482</v>
      </c>
      <c r="C189" s="95">
        <v>38534</v>
      </c>
      <c r="D189" s="87">
        <v>2.9999999999999997E-4</v>
      </c>
      <c r="E189" s="343">
        <f t="shared" si="3"/>
        <v>2.0597646730760735</v>
      </c>
    </row>
    <row r="190" spans="1:5">
      <c r="A190" t="s">
        <v>482</v>
      </c>
      <c r="C190" s="95">
        <v>38565</v>
      </c>
      <c r="D190" s="87">
        <v>0</v>
      </c>
      <c r="E190" s="343">
        <f t="shared" si="3"/>
        <v>2.0588470189703822</v>
      </c>
    </row>
    <row r="191" spans="1:5">
      <c r="A191" t="s">
        <v>482</v>
      </c>
      <c r="C191" s="95">
        <v>38596</v>
      </c>
      <c r="D191" s="87">
        <v>1.5E-3</v>
      </c>
      <c r="E191" s="343">
        <f t="shared" si="3"/>
        <v>2.0588470189703822</v>
      </c>
    </row>
    <row r="192" spans="1:5">
      <c r="A192" t="s">
        <v>482</v>
      </c>
      <c r="C192" s="95">
        <v>38626</v>
      </c>
      <c r="D192" s="87">
        <v>5.7999999999999996E-3</v>
      </c>
      <c r="E192" s="343">
        <f t="shared" si="3"/>
        <v>2.0542656205395726</v>
      </c>
    </row>
    <row r="193" spans="1:5">
      <c r="A193" t="s">
        <v>482</v>
      </c>
      <c r="C193" s="95">
        <v>38657</v>
      </c>
      <c r="D193" s="87">
        <v>5.4000000000000003E-3</v>
      </c>
      <c r="E193" s="343">
        <f t="shared" si="3"/>
        <v>2.0366530329484713</v>
      </c>
    </row>
    <row r="194" spans="1:5">
      <c r="A194" t="s">
        <v>482</v>
      </c>
      <c r="C194" s="95">
        <v>38687</v>
      </c>
      <c r="D194" s="87">
        <v>4.0000000000000001E-3</v>
      </c>
      <c r="E194" s="343">
        <f t="shared" si="3"/>
        <v>2.0203431797776719</v>
      </c>
    </row>
    <row r="195" spans="1:5">
      <c r="A195" t="s">
        <v>482</v>
      </c>
      <c r="C195" s="95">
        <v>38718</v>
      </c>
      <c r="D195" s="87">
        <v>3.8E-3</v>
      </c>
      <c r="E195" s="343">
        <f t="shared" si="3"/>
        <v>2.0083099400176017</v>
      </c>
    </row>
    <row r="196" spans="1:5">
      <c r="A196" t="s">
        <v>482</v>
      </c>
      <c r="C196" s="95">
        <v>38749</v>
      </c>
      <c r="D196" s="87">
        <v>2.3E-3</v>
      </c>
      <c r="E196" s="343">
        <f t="shared" si="3"/>
        <v>1.9969216377939842</v>
      </c>
    </row>
    <row r="197" spans="1:5">
      <c r="A197" t="s">
        <v>482</v>
      </c>
      <c r="C197" s="95">
        <v>38777</v>
      </c>
      <c r="D197" s="87">
        <v>2.7000000000000001E-3</v>
      </c>
      <c r="E197" s="343">
        <f t="shared" si="3"/>
        <v>1.9900445353626504</v>
      </c>
    </row>
    <row r="198" spans="1:5">
      <c r="A198" t="s">
        <v>482</v>
      </c>
      <c r="C198" s="95">
        <v>38808</v>
      </c>
      <c r="D198" s="87">
        <v>1.1999999999999999E-3</v>
      </c>
      <c r="E198" s="343">
        <f t="shared" si="3"/>
        <v>1.981993153847263</v>
      </c>
    </row>
    <row r="199" spans="1:5">
      <c r="A199" t="s">
        <v>482</v>
      </c>
      <c r="C199" s="95">
        <v>38838</v>
      </c>
      <c r="D199" s="87">
        <v>1.2999999999999999E-3</v>
      </c>
      <c r="E199" s="343">
        <f t="shared" si="3"/>
        <v>1.9784190509860795</v>
      </c>
    </row>
    <row r="200" spans="1:5">
      <c r="A200" t="s">
        <v>482</v>
      </c>
      <c r="C200" s="95">
        <v>38869</v>
      </c>
      <c r="D200" s="87">
        <v>-7.000000000000001E-4</v>
      </c>
      <c r="E200" s="343">
        <f t="shared" si="3"/>
        <v>1.9745521332129026</v>
      </c>
    </row>
    <row r="201" spans="1:5">
      <c r="A201" t="s">
        <v>482</v>
      </c>
      <c r="C201" s="95">
        <v>38899</v>
      </c>
      <c r="D201" s="87">
        <v>1.1000000000000001E-3</v>
      </c>
      <c r="E201" s="343">
        <f t="shared" si="3"/>
        <v>1.9766357782576831</v>
      </c>
    </row>
    <row r="202" spans="1:5">
      <c r="A202" t="s">
        <v>482</v>
      </c>
      <c r="C202" s="95">
        <v>38930</v>
      </c>
      <c r="D202" s="87">
        <v>-2.0000000000000001E-4</v>
      </c>
      <c r="E202" s="343">
        <f t="shared" si="3"/>
        <v>1.9733650766733422</v>
      </c>
    </row>
    <row r="203" spans="1:5">
      <c r="A203" t="s">
        <v>482</v>
      </c>
      <c r="C203" s="95">
        <v>38961</v>
      </c>
      <c r="D203" s="87">
        <v>1.6000000000000001E-3</v>
      </c>
      <c r="E203" s="343">
        <f t="shared" si="3"/>
        <v>1.9739598686470714</v>
      </c>
    </row>
    <row r="204" spans="1:5">
      <c r="A204" t="s">
        <v>482</v>
      </c>
      <c r="C204" s="95">
        <v>38991</v>
      </c>
      <c r="D204" s="87">
        <v>4.3E-3</v>
      </c>
      <c r="E204" s="343">
        <f t="shared" si="3"/>
        <v>1.969209134032619</v>
      </c>
    </row>
    <row r="205" spans="1:5">
      <c r="A205" t="s">
        <v>482</v>
      </c>
      <c r="C205" s="95">
        <v>39022</v>
      </c>
      <c r="D205" s="87">
        <v>4.1999999999999997E-3</v>
      </c>
      <c r="E205" s="343">
        <f t="shared" si="3"/>
        <v>1.9564962003710238</v>
      </c>
    </row>
    <row r="206" spans="1:5">
      <c r="A206" t="s">
        <v>482</v>
      </c>
      <c r="C206" s="95">
        <v>39052</v>
      </c>
      <c r="D206" s="87">
        <v>6.1999999999999998E-3</v>
      </c>
      <c r="E206" s="343">
        <f t="shared" si="3"/>
        <v>1.9441308507976736</v>
      </c>
    </row>
    <row r="207" spans="1:5">
      <c r="A207" t="s">
        <v>482</v>
      </c>
      <c r="C207" s="95">
        <v>39083</v>
      </c>
      <c r="D207" s="87">
        <v>4.8999999999999998E-3</v>
      </c>
      <c r="E207" s="343">
        <f t="shared" si="3"/>
        <v>1.9259897145673559</v>
      </c>
    </row>
    <row r="208" spans="1:5">
      <c r="A208" t="s">
        <v>482</v>
      </c>
      <c r="C208" s="95">
        <v>39114</v>
      </c>
      <c r="D208" s="87">
        <v>4.1999999999999997E-3</v>
      </c>
      <c r="E208" s="343">
        <f t="shared" si="3"/>
        <v>1.9117222754178087</v>
      </c>
    </row>
    <row r="209" spans="1:5">
      <c r="A209" t="s">
        <v>482</v>
      </c>
      <c r="C209" s="95">
        <v>39142</v>
      </c>
      <c r="D209" s="87">
        <v>4.4000000000000003E-3</v>
      </c>
      <c r="E209" s="343">
        <f t="shared" si="3"/>
        <v>1.8995441898205625</v>
      </c>
    </row>
    <row r="210" spans="1:5">
      <c r="A210" t="s">
        <v>482</v>
      </c>
      <c r="C210" s="95">
        <v>39173</v>
      </c>
      <c r="D210" s="87">
        <v>2.5999999999999999E-3</v>
      </c>
      <c r="E210" s="343">
        <f t="shared" si="3"/>
        <v>1.8868420846481109</v>
      </c>
    </row>
    <row r="211" spans="1:5">
      <c r="A211" t="s">
        <v>482</v>
      </c>
      <c r="C211" s="95">
        <v>39203</v>
      </c>
      <c r="D211" s="87">
        <v>2.5999999999999999E-3</v>
      </c>
      <c r="E211" s="343">
        <f t="shared" si="3"/>
        <v>1.8793557596729613</v>
      </c>
    </row>
    <row r="212" spans="1:5">
      <c r="A212" t="s">
        <v>482</v>
      </c>
      <c r="C212" s="95">
        <v>39234</v>
      </c>
      <c r="D212" s="87">
        <v>3.0999999999999999E-3</v>
      </c>
      <c r="E212" s="343">
        <f t="shared" si="3"/>
        <v>1.8718888486664289</v>
      </c>
    </row>
    <row r="213" spans="1:5">
      <c r="A213" t="s">
        <v>482</v>
      </c>
      <c r="C213" s="95">
        <v>39264</v>
      </c>
      <c r="D213" s="87">
        <v>3.2000000000000002E-3</v>
      </c>
      <c r="E213" s="343">
        <f t="shared" si="3"/>
        <v>1.863013506795363</v>
      </c>
    </row>
    <row r="214" spans="1:5">
      <c r="A214" t="s">
        <v>482</v>
      </c>
      <c r="C214" s="95">
        <v>39295</v>
      </c>
      <c r="D214" s="87">
        <v>5.8999999999999999E-3</v>
      </c>
      <c r="E214" s="343">
        <f t="shared" si="3"/>
        <v>1.8538810873159517</v>
      </c>
    </row>
    <row r="215" spans="1:5">
      <c r="A215" t="s">
        <v>482</v>
      </c>
      <c r="C215" s="95">
        <v>39326</v>
      </c>
      <c r="D215" s="87">
        <v>2.5000000000000001E-3</v>
      </c>
      <c r="E215" s="343">
        <f t="shared" si="3"/>
        <v>1.8371419498120605</v>
      </c>
    </row>
    <row r="216" spans="1:5">
      <c r="A216" t="s">
        <v>482</v>
      </c>
      <c r="C216" s="95">
        <v>39356</v>
      </c>
      <c r="D216" s="87">
        <v>3.0000000000000001E-3</v>
      </c>
      <c r="E216" s="343">
        <f t="shared" si="3"/>
        <v>1.8300667828549235</v>
      </c>
    </row>
    <row r="217" spans="1:5">
      <c r="A217" t="s">
        <v>482</v>
      </c>
      <c r="C217" s="95">
        <v>39387</v>
      </c>
      <c r="D217" s="87">
        <v>4.3E-3</v>
      </c>
      <c r="E217" s="343">
        <f t="shared" si="3"/>
        <v>1.8216019769241512</v>
      </c>
    </row>
    <row r="218" spans="1:5">
      <c r="A218" t="s">
        <v>482</v>
      </c>
      <c r="C218" s="95">
        <v>39417</v>
      </c>
      <c r="D218" s="87">
        <v>9.7000000000000003E-3</v>
      </c>
      <c r="E218" s="343">
        <f t="shared" si="3"/>
        <v>1.8095210364673417</v>
      </c>
    </row>
    <row r="219" spans="1:5">
      <c r="A219" t="s">
        <v>482</v>
      </c>
      <c r="C219" s="95">
        <v>39448</v>
      </c>
      <c r="D219" s="87">
        <v>6.8999999999999999E-3</v>
      </c>
      <c r="E219" s="343">
        <f t="shared" si="3"/>
        <v>1.782530490707479</v>
      </c>
    </row>
    <row r="220" spans="1:5">
      <c r="A220" t="s">
        <v>482</v>
      </c>
      <c r="C220" s="95">
        <v>39479</v>
      </c>
      <c r="D220" s="87">
        <v>4.7999999999999996E-3</v>
      </c>
      <c r="E220" s="343">
        <f t="shared" si="3"/>
        <v>1.7634625987759254</v>
      </c>
    </row>
    <row r="221" spans="1:5">
      <c r="A221" t="s">
        <v>482</v>
      </c>
      <c r="C221" s="95">
        <v>39508</v>
      </c>
      <c r="D221" s="87">
        <v>5.1000000000000004E-3</v>
      </c>
      <c r="E221" s="343">
        <f t="shared" si="3"/>
        <v>1.7502613443231745</v>
      </c>
    </row>
    <row r="222" spans="1:5">
      <c r="A222" t="s">
        <v>482</v>
      </c>
      <c r="C222" s="95">
        <v>39539</v>
      </c>
      <c r="D222" s="87">
        <v>6.4000000000000003E-3</v>
      </c>
      <c r="E222" s="343">
        <f t="shared" si="3"/>
        <v>1.7363061827909405</v>
      </c>
    </row>
    <row r="223" spans="1:5">
      <c r="A223" t="s">
        <v>482</v>
      </c>
      <c r="C223" s="95">
        <v>39569</v>
      </c>
      <c r="D223" s="87">
        <v>9.5999999999999992E-3</v>
      </c>
      <c r="E223" s="343">
        <f t="shared" si="3"/>
        <v>1.7189051895776437</v>
      </c>
    </row>
    <row r="224" spans="1:5">
      <c r="A224" t="s">
        <v>482</v>
      </c>
      <c r="C224" s="95">
        <v>39600</v>
      </c>
      <c r="D224" s="87">
        <v>9.1000000000000004E-3</v>
      </c>
      <c r="E224" s="343">
        <f t="shared" si="3"/>
        <v>1.6930518914200117</v>
      </c>
    </row>
    <row r="225" spans="1:5">
      <c r="A225" t="s">
        <v>482</v>
      </c>
      <c r="C225" s="95">
        <v>39630</v>
      </c>
      <c r="D225" s="87">
        <v>5.7999999999999996E-3</v>
      </c>
      <c r="E225" s="343">
        <f t="shared" si="3"/>
        <v>1.668766119730464</v>
      </c>
    </row>
    <row r="226" spans="1:5">
      <c r="A226" t="s">
        <v>482</v>
      </c>
      <c r="C226" s="95">
        <v>39661</v>
      </c>
      <c r="D226" s="87">
        <v>2.0999999999999999E-3</v>
      </c>
      <c r="E226" s="343">
        <f t="shared" si="3"/>
        <v>1.6533765358226922</v>
      </c>
    </row>
    <row r="227" spans="1:5">
      <c r="A227" t="s">
        <v>482</v>
      </c>
      <c r="C227" s="95">
        <v>39692</v>
      </c>
      <c r="D227" s="87">
        <v>1.5E-3</v>
      </c>
      <c r="E227" s="343">
        <f t="shared" ref="E227:E284" si="4">(1+E228)*(1+D227)-1</f>
        <v>1.6478161219665624</v>
      </c>
    </row>
    <row r="228" spans="1:5">
      <c r="A228" t="s">
        <v>482</v>
      </c>
      <c r="C228" s="95">
        <v>39722</v>
      </c>
      <c r="D228" s="87">
        <v>5.0000000000000001E-3</v>
      </c>
      <c r="E228" s="343">
        <f t="shared" si="4"/>
        <v>1.6438503464468917</v>
      </c>
    </row>
    <row r="229" spans="1:5">
      <c r="A229" t="s">
        <v>482</v>
      </c>
      <c r="C229" s="95">
        <v>39753</v>
      </c>
      <c r="D229" s="87">
        <v>3.8E-3</v>
      </c>
      <c r="E229" s="343">
        <f t="shared" si="4"/>
        <v>1.6306968621362108</v>
      </c>
    </row>
    <row r="230" spans="1:5">
      <c r="A230" t="s">
        <v>482</v>
      </c>
      <c r="C230" s="95">
        <v>39783</v>
      </c>
      <c r="D230" s="87">
        <v>2.8999999999999998E-3</v>
      </c>
      <c r="E230" s="343">
        <f t="shared" si="4"/>
        <v>1.6207380575176438</v>
      </c>
    </row>
    <row r="231" spans="1:5">
      <c r="A231" t="s">
        <v>482</v>
      </c>
      <c r="C231" s="95">
        <v>39814</v>
      </c>
      <c r="D231" s="87">
        <v>6.4000000000000003E-3</v>
      </c>
      <c r="E231" s="343">
        <f t="shared" si="4"/>
        <v>1.61315989382555</v>
      </c>
    </row>
    <row r="232" spans="1:5">
      <c r="A232" t="s">
        <v>482</v>
      </c>
      <c r="C232" s="95">
        <v>39845</v>
      </c>
      <c r="D232" s="87">
        <v>3.0999999999999999E-3</v>
      </c>
      <c r="E232" s="343">
        <f t="shared" si="4"/>
        <v>1.5965420248664053</v>
      </c>
    </row>
    <row r="233" spans="1:5">
      <c r="A233" t="s">
        <v>482</v>
      </c>
      <c r="C233" s="95">
        <v>39873</v>
      </c>
      <c r="D233" s="87">
        <v>2E-3</v>
      </c>
      <c r="E233" s="343">
        <f t="shared" si="4"/>
        <v>1.5885176202436497</v>
      </c>
    </row>
    <row r="234" spans="1:5">
      <c r="A234" t="s">
        <v>482</v>
      </c>
      <c r="C234" s="95">
        <v>39904</v>
      </c>
      <c r="D234" s="87">
        <v>5.5000000000000005E-3</v>
      </c>
      <c r="E234" s="343">
        <f t="shared" si="4"/>
        <v>1.5833509184068362</v>
      </c>
    </row>
    <row r="235" spans="1:5">
      <c r="A235" t="s">
        <v>482</v>
      </c>
      <c r="C235" s="95">
        <v>39934</v>
      </c>
      <c r="D235" s="87">
        <v>6.0000000000000001E-3</v>
      </c>
      <c r="E235" s="343">
        <f t="shared" si="4"/>
        <v>1.5692202072668682</v>
      </c>
    </row>
    <row r="236" spans="1:5">
      <c r="A236" t="s">
        <v>482</v>
      </c>
      <c r="C236" s="95">
        <v>39965</v>
      </c>
      <c r="D236" s="87">
        <v>4.1999999999999997E-3</v>
      </c>
      <c r="E236" s="343">
        <f t="shared" si="4"/>
        <v>1.553896826309014</v>
      </c>
    </row>
    <row r="237" spans="1:5">
      <c r="A237" t="s">
        <v>482</v>
      </c>
      <c r="C237" s="95">
        <v>39995</v>
      </c>
      <c r="D237" s="87">
        <v>2.3E-3</v>
      </c>
      <c r="E237" s="343">
        <f t="shared" si="4"/>
        <v>1.5432153219567954</v>
      </c>
    </row>
    <row r="238" spans="1:5">
      <c r="A238" t="s">
        <v>482</v>
      </c>
      <c r="C238" s="95">
        <v>40026</v>
      </c>
      <c r="D238" s="87">
        <v>8.0000000000000004E-4</v>
      </c>
      <c r="E238" s="343">
        <f t="shared" si="4"/>
        <v>1.5373793494530537</v>
      </c>
    </row>
    <row r="239" spans="1:5">
      <c r="A239" t="s">
        <v>482</v>
      </c>
      <c r="C239" s="95">
        <v>40057</v>
      </c>
      <c r="D239" s="87">
        <v>1.6000000000000001E-3</v>
      </c>
      <c r="E239" s="343">
        <f t="shared" si="4"/>
        <v>1.5353510685981755</v>
      </c>
    </row>
    <row r="240" spans="1:5">
      <c r="A240" t="s">
        <v>482</v>
      </c>
      <c r="C240" s="95">
        <v>40087</v>
      </c>
      <c r="D240" s="87">
        <v>2.3999999999999998E-3</v>
      </c>
      <c r="E240" s="343">
        <f t="shared" si="4"/>
        <v>1.5313009870189451</v>
      </c>
    </row>
    <row r="241" spans="1:5">
      <c r="A241" t="s">
        <v>482</v>
      </c>
      <c r="C241" s="95">
        <v>40118</v>
      </c>
      <c r="D241" s="87">
        <v>3.7000000000000002E-3</v>
      </c>
      <c r="E241" s="343">
        <f t="shared" si="4"/>
        <v>1.5252404100348618</v>
      </c>
    </row>
    <row r="242" spans="1:5">
      <c r="A242" t="s">
        <v>482</v>
      </c>
      <c r="C242" s="95">
        <v>40148</v>
      </c>
      <c r="D242" s="87">
        <v>2.3999999999999998E-3</v>
      </c>
      <c r="E242" s="343">
        <f t="shared" si="4"/>
        <v>1.5159314636194696</v>
      </c>
    </row>
    <row r="243" spans="1:5">
      <c r="A243" t="s">
        <v>482</v>
      </c>
      <c r="C243" s="95">
        <v>40179</v>
      </c>
      <c r="D243" s="87">
        <v>8.8000000000000005E-3</v>
      </c>
      <c r="E243" s="343">
        <f t="shared" si="4"/>
        <v>1.5099076851750497</v>
      </c>
    </row>
    <row r="244" spans="1:5">
      <c r="A244" t="s">
        <v>482</v>
      </c>
      <c r="C244" s="95">
        <v>40210</v>
      </c>
      <c r="D244" s="87">
        <v>6.9999999999999993E-3</v>
      </c>
      <c r="E244" s="343">
        <f t="shared" si="4"/>
        <v>1.4880131692853391</v>
      </c>
    </row>
    <row r="245" spans="1:5">
      <c r="A245" t="s">
        <v>482</v>
      </c>
      <c r="C245" s="95">
        <v>40238</v>
      </c>
      <c r="D245" s="87">
        <v>7.0999999999999995E-3</v>
      </c>
      <c r="E245" s="343">
        <f t="shared" si="4"/>
        <v>1.4707181422893143</v>
      </c>
    </row>
    <row r="246" spans="1:5">
      <c r="A246" t="s">
        <v>482</v>
      </c>
      <c r="C246" s="95">
        <v>40269</v>
      </c>
      <c r="D246" s="87">
        <v>7.3000000000000001E-3</v>
      </c>
      <c r="E246" s="343">
        <f t="shared" si="4"/>
        <v>1.4532997143176587</v>
      </c>
    </row>
    <row r="247" spans="1:5">
      <c r="A247" t="s">
        <v>482</v>
      </c>
      <c r="C247" s="95">
        <v>40299</v>
      </c>
      <c r="D247" s="87">
        <v>4.3E-3</v>
      </c>
      <c r="E247" s="343">
        <f t="shared" si="4"/>
        <v>1.4355204152860703</v>
      </c>
    </row>
    <row r="248" spans="1:5">
      <c r="A248" t="s">
        <v>482</v>
      </c>
      <c r="C248" s="95">
        <v>40330</v>
      </c>
      <c r="D248" s="87">
        <v>-1.1000000000000001E-3</v>
      </c>
      <c r="E248" s="343">
        <f t="shared" si="4"/>
        <v>1.4250925174609881</v>
      </c>
    </row>
    <row r="249" spans="1:5">
      <c r="A249" t="s">
        <v>482</v>
      </c>
      <c r="C249" s="95">
        <v>40360</v>
      </c>
      <c r="D249" s="87">
        <v>-7.000000000000001E-4</v>
      </c>
      <c r="E249" s="343">
        <f t="shared" si="4"/>
        <v>1.427763056823494</v>
      </c>
    </row>
    <row r="250" spans="1:5">
      <c r="A250" t="s">
        <v>482</v>
      </c>
      <c r="C250" s="95">
        <v>40391</v>
      </c>
      <c r="D250" s="87">
        <v>-7.000000000000001E-4</v>
      </c>
      <c r="E250" s="343">
        <f t="shared" si="4"/>
        <v>1.4294636814004744</v>
      </c>
    </row>
    <row r="251" spans="1:5">
      <c r="A251" t="s">
        <v>482</v>
      </c>
      <c r="C251" s="95">
        <v>40422</v>
      </c>
      <c r="D251" s="87">
        <v>5.4000000000000003E-3</v>
      </c>
      <c r="E251" s="343">
        <f t="shared" si="4"/>
        <v>1.4311654972485486</v>
      </c>
    </row>
    <row r="252" spans="1:5">
      <c r="A252" t="s">
        <v>482</v>
      </c>
      <c r="C252" s="95">
        <v>40452</v>
      </c>
      <c r="D252" s="87">
        <v>9.1999999999999998E-3</v>
      </c>
      <c r="E252" s="343">
        <f t="shared" si="4"/>
        <v>1.4181077155843926</v>
      </c>
    </row>
    <row r="253" spans="1:5">
      <c r="A253" t="s">
        <v>482</v>
      </c>
      <c r="C253" s="95">
        <v>40483</v>
      </c>
      <c r="D253" s="87">
        <v>1.03E-2</v>
      </c>
      <c r="E253" s="343">
        <f t="shared" si="4"/>
        <v>1.3960639274518356</v>
      </c>
    </row>
    <row r="254" spans="1:5">
      <c r="A254" t="s">
        <v>482</v>
      </c>
      <c r="C254" s="95">
        <v>40513</v>
      </c>
      <c r="D254" s="87">
        <v>6.0000000000000001E-3</v>
      </c>
      <c r="E254" s="343">
        <f t="shared" si="4"/>
        <v>1.371636075870371</v>
      </c>
    </row>
    <row r="255" spans="1:5">
      <c r="A255" t="s">
        <v>482</v>
      </c>
      <c r="C255" s="95">
        <v>40544</v>
      </c>
      <c r="D255" s="87">
        <v>9.3999999999999986E-3</v>
      </c>
      <c r="E255" s="343">
        <f t="shared" si="4"/>
        <v>1.3574911290957963</v>
      </c>
    </row>
    <row r="256" spans="1:5">
      <c r="A256" t="s">
        <v>482</v>
      </c>
      <c r="C256" s="95">
        <v>40575</v>
      </c>
      <c r="D256" s="87">
        <v>5.4000000000000003E-3</v>
      </c>
      <c r="E256" s="343">
        <f t="shared" si="4"/>
        <v>1.3355370805387321</v>
      </c>
    </row>
    <row r="257" spans="1:5">
      <c r="A257" t="s">
        <v>482</v>
      </c>
      <c r="C257" s="95">
        <v>40603</v>
      </c>
      <c r="D257" s="87">
        <v>6.6E-3</v>
      </c>
      <c r="E257" s="343">
        <f t="shared" si="4"/>
        <v>1.3229929187773344</v>
      </c>
    </row>
    <row r="258" spans="1:5">
      <c r="A258" t="s">
        <v>482</v>
      </c>
      <c r="C258" s="95">
        <v>40634</v>
      </c>
      <c r="D258" s="87">
        <v>7.1999999999999998E-3</v>
      </c>
      <c r="E258" s="343">
        <f t="shared" si="4"/>
        <v>1.3077616916126908</v>
      </c>
    </row>
    <row r="259" spans="1:5">
      <c r="A259" t="s">
        <v>482</v>
      </c>
      <c r="C259" s="95">
        <v>40664</v>
      </c>
      <c r="D259" s="87">
        <v>5.6999999999999993E-3</v>
      </c>
      <c r="E259" s="343">
        <f t="shared" si="4"/>
        <v>1.2912645865892483</v>
      </c>
    </row>
    <row r="260" spans="1:5">
      <c r="A260" t="s">
        <v>482</v>
      </c>
      <c r="C260" s="95">
        <v>40695</v>
      </c>
      <c r="D260" s="87">
        <v>2.2000000000000001E-3</v>
      </c>
      <c r="E260" s="343">
        <f t="shared" si="4"/>
        <v>1.2782783997108962</v>
      </c>
    </row>
    <row r="261" spans="1:5">
      <c r="A261" t="s">
        <v>482</v>
      </c>
      <c r="C261" s="95">
        <v>40725</v>
      </c>
      <c r="D261" s="87">
        <v>0</v>
      </c>
      <c r="E261" s="343">
        <f t="shared" si="4"/>
        <v>1.2732771898931312</v>
      </c>
    </row>
    <row r="262" spans="1:5">
      <c r="A262" t="s">
        <v>482</v>
      </c>
      <c r="C262" s="95">
        <v>40756</v>
      </c>
      <c r="D262" s="87">
        <v>4.1999999999999997E-3</v>
      </c>
      <c r="E262" s="343">
        <f t="shared" si="4"/>
        <v>1.2732771898931312</v>
      </c>
    </row>
    <row r="263" spans="1:5">
      <c r="A263" t="s">
        <v>482</v>
      </c>
      <c r="C263" s="95">
        <v>40787</v>
      </c>
      <c r="D263" s="87">
        <v>4.5000000000000005E-3</v>
      </c>
      <c r="E263" s="343">
        <f t="shared" si="4"/>
        <v>1.2637693585870657</v>
      </c>
    </row>
    <row r="264" spans="1:5">
      <c r="A264" t="s">
        <v>482</v>
      </c>
      <c r="C264" s="95">
        <v>40817</v>
      </c>
      <c r="D264" s="87">
        <v>3.2000000000000002E-3</v>
      </c>
      <c r="E264" s="343">
        <f t="shared" si="4"/>
        <v>1.2536280324410809</v>
      </c>
    </row>
    <row r="265" spans="1:5">
      <c r="A265" t="s">
        <v>482</v>
      </c>
      <c r="C265" s="95">
        <v>40848</v>
      </c>
      <c r="D265" s="87">
        <v>5.6999999999999993E-3</v>
      </c>
      <c r="E265" s="343">
        <f t="shared" si="4"/>
        <v>1.2464394262769942</v>
      </c>
    </row>
    <row r="266" spans="1:5">
      <c r="A266" t="s">
        <v>482</v>
      </c>
      <c r="C266" s="95">
        <v>40878</v>
      </c>
      <c r="D266" s="87">
        <v>5.1000000000000004E-3</v>
      </c>
      <c r="E266" s="343">
        <f t="shared" si="4"/>
        <v>1.2337072946972198</v>
      </c>
    </row>
    <row r="267" spans="1:5">
      <c r="A267" t="s">
        <v>482</v>
      </c>
      <c r="C267" s="95">
        <v>40909</v>
      </c>
      <c r="D267" s="87">
        <v>5.1000000000000004E-3</v>
      </c>
      <c r="E267" s="343">
        <f t="shared" si="4"/>
        <v>1.2223731914209726</v>
      </c>
    </row>
    <row r="268" spans="1:5">
      <c r="A268" t="s">
        <v>482</v>
      </c>
      <c r="C268" s="95">
        <v>40940</v>
      </c>
      <c r="D268" s="87">
        <v>3.9000000000000003E-3</v>
      </c>
      <c r="E268" s="343">
        <f t="shared" si="4"/>
        <v>1.2110965987672593</v>
      </c>
    </row>
    <row r="269" spans="1:5">
      <c r="A269" t="s">
        <v>482</v>
      </c>
      <c r="C269" s="95">
        <v>40969</v>
      </c>
      <c r="D269" s="87">
        <v>1.8E-3</v>
      </c>
      <c r="E269" s="343">
        <f t="shared" si="4"/>
        <v>1.2025068221608319</v>
      </c>
    </row>
    <row r="270" spans="1:5">
      <c r="A270" t="s">
        <v>482</v>
      </c>
      <c r="C270" s="95">
        <v>41000</v>
      </c>
      <c r="D270" s="87">
        <v>6.4000000000000003E-3</v>
      </c>
      <c r="E270" s="343">
        <f t="shared" si="4"/>
        <v>1.198549433181106</v>
      </c>
    </row>
    <row r="271" spans="1:5">
      <c r="A271" t="s">
        <v>482</v>
      </c>
      <c r="C271" s="95">
        <v>41030</v>
      </c>
      <c r="D271" s="87">
        <v>5.5000000000000005E-3</v>
      </c>
      <c r="E271" s="343">
        <f t="shared" si="4"/>
        <v>1.1845681967220849</v>
      </c>
    </row>
    <row r="272" spans="1:5">
      <c r="A272" t="s">
        <v>482</v>
      </c>
      <c r="C272" s="95">
        <v>41061</v>
      </c>
      <c r="D272" s="87">
        <v>2.5999999999999999E-3</v>
      </c>
      <c r="E272" s="343">
        <f t="shared" si="4"/>
        <v>1.1726187933586125</v>
      </c>
    </row>
    <row r="273" spans="1:5">
      <c r="A273" t="s">
        <v>482</v>
      </c>
      <c r="C273" s="95">
        <v>41091</v>
      </c>
      <c r="D273" s="87">
        <v>4.3E-3</v>
      </c>
      <c r="E273" s="343">
        <f t="shared" si="4"/>
        <v>1.1669846333120013</v>
      </c>
    </row>
    <row r="274" spans="1:5">
      <c r="A274" t="s">
        <v>482</v>
      </c>
      <c r="C274" s="95">
        <v>41122</v>
      </c>
      <c r="D274" s="87">
        <v>4.5000000000000005E-3</v>
      </c>
      <c r="E274" s="343">
        <f t="shared" si="4"/>
        <v>1.1577064953818592</v>
      </c>
    </row>
    <row r="275" spans="1:5">
      <c r="A275" t="s">
        <v>482</v>
      </c>
      <c r="C275" s="95">
        <v>41153</v>
      </c>
      <c r="D275" s="87">
        <v>6.3E-3</v>
      </c>
      <c r="E275" s="343">
        <f t="shared" si="4"/>
        <v>1.1480403139689987</v>
      </c>
    </row>
    <row r="276" spans="1:5">
      <c r="A276" t="s">
        <v>482</v>
      </c>
      <c r="C276" s="95">
        <v>41183</v>
      </c>
      <c r="D276" s="87">
        <v>7.0999999999999995E-3</v>
      </c>
      <c r="E276" s="343">
        <f t="shared" si="4"/>
        <v>1.134592381962634</v>
      </c>
    </row>
    <row r="277" spans="1:5">
      <c r="A277" t="s">
        <v>482</v>
      </c>
      <c r="C277" s="95">
        <v>41214</v>
      </c>
      <c r="D277" s="87">
        <v>5.4000000000000003E-3</v>
      </c>
      <c r="E277" s="343">
        <f t="shared" si="4"/>
        <v>1.1195436222446964</v>
      </c>
    </row>
    <row r="278" spans="1:5">
      <c r="A278" t="s">
        <v>482</v>
      </c>
      <c r="C278" s="95">
        <v>41244</v>
      </c>
      <c r="D278" s="87">
        <v>7.4000000000000003E-3</v>
      </c>
      <c r="E278" s="343">
        <f t="shared" si="4"/>
        <v>1.1081595606173624</v>
      </c>
    </row>
    <row r="279" spans="1:5">
      <c r="A279" t="s">
        <v>482</v>
      </c>
      <c r="C279" s="95">
        <v>41275</v>
      </c>
      <c r="D279" s="87">
        <v>9.1999999999999998E-3</v>
      </c>
      <c r="E279" s="343">
        <f t="shared" si="4"/>
        <v>1.0926737746846955</v>
      </c>
    </row>
    <row r="280" spans="1:5">
      <c r="A280" t="s">
        <v>482</v>
      </c>
      <c r="C280" s="95">
        <v>41306</v>
      </c>
      <c r="D280" s="87">
        <v>5.1999999999999998E-3</v>
      </c>
      <c r="E280" s="343">
        <f t="shared" si="4"/>
        <v>1.0735966851810299</v>
      </c>
    </row>
    <row r="281" spans="1:5">
      <c r="A281" t="s">
        <v>482</v>
      </c>
      <c r="C281" s="95">
        <v>41334</v>
      </c>
      <c r="D281" s="87">
        <v>6.0000000000000001E-3</v>
      </c>
      <c r="E281" s="343">
        <f t="shared" si="4"/>
        <v>1.0628697624164642</v>
      </c>
    </row>
    <row r="282" spans="1:5">
      <c r="A282" t="s">
        <v>482</v>
      </c>
      <c r="C282" s="95">
        <v>41365</v>
      </c>
      <c r="D282" s="87">
        <v>5.8999999999999999E-3</v>
      </c>
      <c r="E282" s="343">
        <f t="shared" si="4"/>
        <v>1.0505663642310776</v>
      </c>
    </row>
    <row r="283" spans="1:5">
      <c r="A283" t="s">
        <v>482</v>
      </c>
      <c r="C283" s="95">
        <v>41395</v>
      </c>
      <c r="D283" s="87">
        <v>3.4999999999999996E-3</v>
      </c>
      <c r="E283" s="343">
        <f t="shared" si="4"/>
        <v>1.038538984224155</v>
      </c>
    </row>
    <row r="284" spans="1:5">
      <c r="A284" t="s">
        <v>482</v>
      </c>
      <c r="C284" s="95">
        <v>41426</v>
      </c>
      <c r="D284" s="87">
        <v>2.8000000000000004E-3</v>
      </c>
      <c r="E284" s="343">
        <f t="shared" si="4"/>
        <v>1.0314289827844094</v>
      </c>
    </row>
    <row r="285" spans="1:5">
      <c r="A285" t="s">
        <v>482</v>
      </c>
      <c r="C285" s="95">
        <v>41456</v>
      </c>
      <c r="D285" s="87">
        <v>-1.2999999999999999E-3</v>
      </c>
      <c r="E285" s="343">
        <f t="shared" ref="E285:E348" si="5">(1+E286)*(1+D285)-1</f>
        <v>1.0257568635664236</v>
      </c>
    </row>
    <row r="286" spans="1:5">
      <c r="A286" t="s">
        <v>482</v>
      </c>
      <c r="C286" s="95">
        <v>41487</v>
      </c>
      <c r="D286" s="87">
        <v>1.6000000000000001E-3</v>
      </c>
      <c r="E286" s="343">
        <f t="shared" si="5"/>
        <v>1.0283937754745405</v>
      </c>
    </row>
    <row r="287" spans="1:5">
      <c r="A287" t="s">
        <v>482</v>
      </c>
      <c r="C287" s="95">
        <v>41518</v>
      </c>
      <c r="D287" s="87">
        <v>2.7000000000000001E-3</v>
      </c>
      <c r="E287" s="343">
        <f t="shared" si="5"/>
        <v>1.0251535298268175</v>
      </c>
    </row>
    <row r="288" spans="1:5">
      <c r="A288" t="s">
        <v>482</v>
      </c>
      <c r="C288" s="95">
        <v>41548</v>
      </c>
      <c r="D288" s="87">
        <v>6.0999999999999995E-3</v>
      </c>
      <c r="E288" s="343">
        <f t="shared" si="5"/>
        <v>1.0197003389117558</v>
      </c>
    </row>
    <row r="289" spans="1:5">
      <c r="A289" t="s">
        <v>482</v>
      </c>
      <c r="C289" s="95">
        <v>41579</v>
      </c>
      <c r="D289" s="87">
        <v>5.4000000000000003E-3</v>
      </c>
      <c r="E289" s="343">
        <f t="shared" si="5"/>
        <v>1.0074548642398926</v>
      </c>
    </row>
    <row r="290" spans="1:5">
      <c r="A290" t="s">
        <v>482</v>
      </c>
      <c r="C290" s="95">
        <v>41609</v>
      </c>
      <c r="D290" s="87">
        <v>7.1999999999999998E-3</v>
      </c>
      <c r="E290" s="343">
        <f t="shared" si="5"/>
        <v>0.9966728309527475</v>
      </c>
    </row>
    <row r="291" spans="1:5">
      <c r="A291" t="s">
        <v>482</v>
      </c>
      <c r="C291" s="95">
        <v>41640</v>
      </c>
      <c r="D291" s="87">
        <v>6.3E-3</v>
      </c>
      <c r="E291" s="343">
        <f t="shared" si="5"/>
        <v>0.98239955416277525</v>
      </c>
    </row>
    <row r="292" spans="1:5">
      <c r="A292" t="s">
        <v>482</v>
      </c>
      <c r="C292" s="95">
        <v>41671</v>
      </c>
      <c r="D292" s="87">
        <v>6.4000000000000003E-3</v>
      </c>
      <c r="E292" s="343">
        <f t="shared" si="5"/>
        <v>0.9699886258201087</v>
      </c>
    </row>
    <row r="293" spans="1:5">
      <c r="A293" t="s">
        <v>482</v>
      </c>
      <c r="C293" s="95">
        <v>41699</v>
      </c>
      <c r="D293" s="87">
        <v>8.199999999999999E-3</v>
      </c>
      <c r="E293" s="343">
        <f t="shared" si="5"/>
        <v>0.95746087621234977</v>
      </c>
    </row>
    <row r="294" spans="1:5">
      <c r="A294" t="s">
        <v>482</v>
      </c>
      <c r="C294" s="95">
        <v>41730</v>
      </c>
      <c r="D294" s="87">
        <v>7.8000000000000005E-3</v>
      </c>
      <c r="E294" s="343">
        <f t="shared" si="5"/>
        <v>0.94154024619356269</v>
      </c>
    </row>
    <row r="295" spans="1:5">
      <c r="A295" t="s">
        <v>482</v>
      </c>
      <c r="C295" s="95">
        <v>41760</v>
      </c>
      <c r="D295" s="87">
        <v>6.0000000000000001E-3</v>
      </c>
      <c r="E295" s="343">
        <f t="shared" si="5"/>
        <v>0.92651344135102454</v>
      </c>
    </row>
    <row r="296" spans="1:5">
      <c r="A296" t="s">
        <v>482</v>
      </c>
      <c r="C296" s="95">
        <v>41791</v>
      </c>
      <c r="D296" s="87">
        <v>2.5999999999999999E-3</v>
      </c>
      <c r="E296" s="343">
        <f t="shared" si="5"/>
        <v>0.91502330154177391</v>
      </c>
    </row>
    <row r="297" spans="1:5">
      <c r="A297" t="s">
        <v>482</v>
      </c>
      <c r="C297" s="95">
        <v>41821</v>
      </c>
      <c r="D297" s="87">
        <v>1.2999999999999999E-3</v>
      </c>
      <c r="E297" s="343">
        <f t="shared" si="5"/>
        <v>0.91005715294411926</v>
      </c>
    </row>
    <row r="298" spans="1:5">
      <c r="A298" t="s">
        <v>482</v>
      </c>
      <c r="C298" s="95">
        <v>41852</v>
      </c>
      <c r="D298" s="87">
        <v>1.8E-3</v>
      </c>
      <c r="E298" s="343">
        <f t="shared" si="5"/>
        <v>0.90757730245093282</v>
      </c>
    </row>
    <row r="299" spans="1:5">
      <c r="A299" t="s">
        <v>482</v>
      </c>
      <c r="C299" s="95">
        <v>41883</v>
      </c>
      <c r="D299" s="87">
        <v>4.8999999999999998E-3</v>
      </c>
      <c r="E299" s="343">
        <f t="shared" si="5"/>
        <v>0.90414983275197924</v>
      </c>
    </row>
    <row r="300" spans="1:5">
      <c r="A300" t="s">
        <v>482</v>
      </c>
      <c r="C300" s="95">
        <v>41913</v>
      </c>
      <c r="D300" s="87">
        <v>3.8E-3</v>
      </c>
      <c r="E300" s="343">
        <f t="shared" si="5"/>
        <v>0.89486499428000732</v>
      </c>
    </row>
    <row r="301" spans="1:5">
      <c r="A301" t="s">
        <v>482</v>
      </c>
      <c r="C301" s="95">
        <v>41944</v>
      </c>
      <c r="D301" s="87">
        <v>5.3E-3</v>
      </c>
      <c r="E301" s="343">
        <f t="shared" si="5"/>
        <v>0.88769176557083807</v>
      </c>
    </row>
    <row r="302" spans="1:5">
      <c r="A302" t="s">
        <v>482</v>
      </c>
      <c r="C302" s="95">
        <v>41974</v>
      </c>
      <c r="D302" s="87">
        <v>6.1999999999999998E-3</v>
      </c>
      <c r="E302" s="343">
        <f t="shared" si="5"/>
        <v>0.87773974492274731</v>
      </c>
    </row>
    <row r="303" spans="1:5">
      <c r="A303" t="s">
        <v>482</v>
      </c>
      <c r="C303" s="95">
        <v>42005</v>
      </c>
      <c r="D303" s="87">
        <v>1.4800000000000001E-2</v>
      </c>
      <c r="E303" s="343">
        <f t="shared" si="5"/>
        <v>0.86616949405957788</v>
      </c>
    </row>
    <row r="304" spans="1:5">
      <c r="A304" t="s">
        <v>482</v>
      </c>
      <c r="C304" s="95">
        <v>42036</v>
      </c>
      <c r="D304" s="87">
        <v>1.1599999999999999E-2</v>
      </c>
      <c r="E304" s="343">
        <f t="shared" si="5"/>
        <v>0.83895298981038424</v>
      </c>
    </row>
    <row r="305" spans="1:5">
      <c r="A305" t="s">
        <v>482</v>
      </c>
      <c r="C305" s="95">
        <v>42064</v>
      </c>
      <c r="D305" s="87">
        <v>1.5100000000000001E-2</v>
      </c>
      <c r="E305" s="343">
        <f t="shared" si="5"/>
        <v>0.81786574714351934</v>
      </c>
    </row>
    <row r="306" spans="1:5">
      <c r="A306" t="s">
        <v>482</v>
      </c>
      <c r="C306" s="95">
        <v>42095</v>
      </c>
      <c r="D306" s="87">
        <v>7.0999999999999995E-3</v>
      </c>
      <c r="E306" s="343">
        <f t="shared" si="5"/>
        <v>0.79082430021034344</v>
      </c>
    </row>
    <row r="307" spans="1:5">
      <c r="A307" t="s">
        <v>482</v>
      </c>
      <c r="C307" s="95">
        <v>42125</v>
      </c>
      <c r="D307" s="87">
        <v>9.8999999999999991E-3</v>
      </c>
      <c r="E307" s="343">
        <f t="shared" si="5"/>
        <v>0.77819908669481008</v>
      </c>
    </row>
    <row r="308" spans="1:5">
      <c r="A308" t="s">
        <v>482</v>
      </c>
      <c r="C308" s="95">
        <v>42156</v>
      </c>
      <c r="D308" s="87">
        <v>7.7000000000000002E-3</v>
      </c>
      <c r="E308" s="343">
        <f t="shared" si="5"/>
        <v>0.76076748855808507</v>
      </c>
    </row>
    <row r="309" spans="1:5">
      <c r="A309" t="s">
        <v>482</v>
      </c>
      <c r="C309" s="95">
        <v>42186</v>
      </c>
      <c r="D309" s="87">
        <v>5.7999999999999996E-3</v>
      </c>
      <c r="E309" s="343">
        <f t="shared" si="5"/>
        <v>0.74731317709445766</v>
      </c>
    </row>
    <row r="310" spans="1:5">
      <c r="A310" t="s">
        <v>482</v>
      </c>
      <c r="C310" s="95">
        <v>42217</v>
      </c>
      <c r="D310" s="87">
        <v>2.5000000000000001E-3</v>
      </c>
      <c r="E310" s="343">
        <f t="shared" si="5"/>
        <v>0.73723720132676229</v>
      </c>
    </row>
    <row r="311" spans="1:5">
      <c r="A311" t="s">
        <v>482</v>
      </c>
      <c r="C311" s="95">
        <v>42248</v>
      </c>
      <c r="D311" s="87">
        <v>5.1000000000000004E-3</v>
      </c>
      <c r="E311" s="343">
        <f t="shared" si="5"/>
        <v>0.73290493897931408</v>
      </c>
    </row>
    <row r="312" spans="1:5">
      <c r="A312" t="s">
        <v>482</v>
      </c>
      <c r="C312" s="95">
        <v>42278</v>
      </c>
      <c r="D312" s="87">
        <v>7.7000000000000002E-3</v>
      </c>
      <c r="E312" s="343">
        <f t="shared" si="5"/>
        <v>0.72411196794280563</v>
      </c>
    </row>
    <row r="313" spans="1:5">
      <c r="A313" t="s">
        <v>482</v>
      </c>
      <c r="C313" s="95">
        <v>42309</v>
      </c>
      <c r="D313" s="87">
        <v>1.11E-2</v>
      </c>
      <c r="E313" s="343">
        <f t="shared" si="5"/>
        <v>0.71093774728868264</v>
      </c>
    </row>
    <row r="314" spans="1:5">
      <c r="A314" t="s">
        <v>482</v>
      </c>
      <c r="C314" s="95">
        <v>42339</v>
      </c>
      <c r="D314" s="87">
        <v>9.0000000000000011E-3</v>
      </c>
      <c r="E314" s="343">
        <f t="shared" si="5"/>
        <v>0.69215482869022105</v>
      </c>
    </row>
    <row r="315" spans="1:5">
      <c r="A315" t="s">
        <v>482</v>
      </c>
      <c r="C315" s="95">
        <v>42370</v>
      </c>
      <c r="D315" s="87">
        <v>1.5100000000000001E-2</v>
      </c>
      <c r="E315" s="343">
        <f t="shared" si="5"/>
        <v>0.67706127719546205</v>
      </c>
    </row>
    <row r="316" spans="1:5">
      <c r="A316" t="s">
        <v>482</v>
      </c>
      <c r="C316" s="95">
        <v>42401</v>
      </c>
      <c r="D316" s="87">
        <v>9.4999999999999998E-3</v>
      </c>
      <c r="E316" s="343">
        <f t="shared" si="5"/>
        <v>0.65211435050286881</v>
      </c>
    </row>
    <row r="317" spans="1:5">
      <c r="A317" t="s">
        <v>482</v>
      </c>
      <c r="C317" s="95">
        <v>42430</v>
      </c>
      <c r="D317" s="87">
        <v>4.4000000000000003E-3</v>
      </c>
      <c r="E317" s="343">
        <f t="shared" si="5"/>
        <v>0.63656696434162319</v>
      </c>
    </row>
    <row r="318" spans="1:5">
      <c r="A318" t="s">
        <v>482</v>
      </c>
      <c r="C318" s="95">
        <v>42461</v>
      </c>
      <c r="D318" s="87">
        <v>6.4000000000000003E-3</v>
      </c>
      <c r="E318" s="343">
        <f t="shared" si="5"/>
        <v>0.62939761483634338</v>
      </c>
    </row>
    <row r="319" spans="1:5">
      <c r="A319" t="s">
        <v>482</v>
      </c>
      <c r="C319" s="95">
        <v>42491</v>
      </c>
      <c r="D319" s="87">
        <v>9.7999999999999997E-3</v>
      </c>
      <c r="E319" s="343">
        <f t="shared" si="5"/>
        <v>0.61903578580717755</v>
      </c>
    </row>
    <row r="320" spans="1:5">
      <c r="A320" t="s">
        <v>482</v>
      </c>
      <c r="C320" s="95">
        <v>42522</v>
      </c>
      <c r="D320" s="87">
        <v>4.6999999999999993E-3</v>
      </c>
      <c r="E320" s="343">
        <f t="shared" si="5"/>
        <v>0.60332321826814961</v>
      </c>
    </row>
    <row r="321" spans="1:5">
      <c r="A321" t="s">
        <v>482</v>
      </c>
      <c r="C321" s="95">
        <v>42552</v>
      </c>
      <c r="D321" s="87">
        <v>6.4000000000000003E-3</v>
      </c>
      <c r="E321" s="343">
        <f t="shared" si="5"/>
        <v>0.59582285086906506</v>
      </c>
    </row>
    <row r="322" spans="1:5">
      <c r="A322" t="s">
        <v>482</v>
      </c>
      <c r="C322" s="95">
        <v>42583</v>
      </c>
      <c r="D322" s="87">
        <v>3.0999999999999999E-3</v>
      </c>
      <c r="E322" s="343">
        <f t="shared" si="5"/>
        <v>0.58567453385240964</v>
      </c>
    </row>
    <row r="323" spans="1:5">
      <c r="A323" t="s">
        <v>482</v>
      </c>
      <c r="C323" s="95">
        <v>42614</v>
      </c>
      <c r="D323" s="87">
        <v>8.0000000000000004E-4</v>
      </c>
      <c r="E323" s="343">
        <f t="shared" si="5"/>
        <v>0.58077413403689504</v>
      </c>
    </row>
    <row r="324" spans="1:5">
      <c r="A324" t="s">
        <v>482</v>
      </c>
      <c r="C324" s="95">
        <v>42644</v>
      </c>
      <c r="D324" s="87">
        <v>1.7000000000000001E-3</v>
      </c>
      <c r="E324" s="343">
        <f t="shared" si="5"/>
        <v>0.57951052561640215</v>
      </c>
    </row>
    <row r="325" spans="1:5">
      <c r="A325" t="s">
        <v>482</v>
      </c>
      <c r="C325" s="95">
        <v>42675</v>
      </c>
      <c r="D325" s="87">
        <v>7.000000000000001E-4</v>
      </c>
      <c r="E325" s="343">
        <f t="shared" si="5"/>
        <v>0.57682991476130785</v>
      </c>
    </row>
    <row r="326" spans="1:5">
      <c r="A326" t="s">
        <v>482</v>
      </c>
      <c r="C326" s="95">
        <v>42705</v>
      </c>
      <c r="D326" s="87">
        <v>1.4000000000000002E-3</v>
      </c>
      <c r="E326" s="343">
        <f t="shared" si="5"/>
        <v>0.57572690592715903</v>
      </c>
    </row>
    <row r="327" spans="1:5">
      <c r="A327" t="s">
        <v>482</v>
      </c>
      <c r="C327" s="95">
        <v>42736</v>
      </c>
      <c r="D327" s="87">
        <v>4.1999999999999997E-3</v>
      </c>
      <c r="E327" s="343">
        <f t="shared" si="5"/>
        <v>0.57352397236584673</v>
      </c>
    </row>
    <row r="328" spans="1:5">
      <c r="A328" t="s">
        <v>482</v>
      </c>
      <c r="C328" s="95">
        <v>42767</v>
      </c>
      <c r="D328" s="87">
        <v>2.3999999999999998E-3</v>
      </c>
      <c r="E328" s="343">
        <f t="shared" si="5"/>
        <v>0.56694281255312373</v>
      </c>
    </row>
    <row r="329" spans="1:5">
      <c r="A329" t="s">
        <v>482</v>
      </c>
      <c r="C329" s="95">
        <v>42795</v>
      </c>
      <c r="D329" s="87">
        <v>3.2000000000000002E-3</v>
      </c>
      <c r="E329" s="343">
        <f t="shared" si="5"/>
        <v>0.56319115378404216</v>
      </c>
    </row>
    <row r="330" spans="1:5">
      <c r="A330" t="s">
        <v>482</v>
      </c>
      <c r="C330" s="95">
        <v>42826</v>
      </c>
      <c r="D330" s="87">
        <v>8.0000000000000004E-4</v>
      </c>
      <c r="E330" s="343">
        <f t="shared" si="5"/>
        <v>0.55820489811008978</v>
      </c>
    </row>
    <row r="331" spans="1:5">
      <c r="A331" t="s">
        <v>482</v>
      </c>
      <c r="C331" s="95">
        <v>42856</v>
      </c>
      <c r="D331" s="87">
        <v>3.5999999999999999E-3</v>
      </c>
      <c r="E331" s="343">
        <f t="shared" si="5"/>
        <v>0.55695933064557335</v>
      </c>
    </row>
    <row r="332" spans="1:5">
      <c r="A332" t="s">
        <v>482</v>
      </c>
      <c r="C332" s="95">
        <v>42887</v>
      </c>
      <c r="D332" s="87">
        <v>-3.0000000000000001E-3</v>
      </c>
      <c r="E332" s="343">
        <f t="shared" si="5"/>
        <v>0.55137438286725127</v>
      </c>
    </row>
    <row r="333" spans="1:5">
      <c r="A333" t="s">
        <v>482</v>
      </c>
      <c r="C333" s="95">
        <v>42917</v>
      </c>
      <c r="D333" s="87">
        <v>1.7000000000000001E-3</v>
      </c>
      <c r="E333" s="343">
        <f t="shared" si="5"/>
        <v>0.55604251039844654</v>
      </c>
    </row>
    <row r="334" spans="1:5">
      <c r="A334" t="s">
        <v>482</v>
      </c>
      <c r="C334" s="95">
        <v>42948</v>
      </c>
      <c r="D334" s="87">
        <v>-2.9999999999999997E-4</v>
      </c>
      <c r="E334" s="343">
        <f t="shared" si="5"/>
        <v>0.55340172746176153</v>
      </c>
    </row>
    <row r="335" spans="1:5">
      <c r="A335" t="s">
        <v>482</v>
      </c>
      <c r="C335" s="95">
        <v>42979</v>
      </c>
      <c r="D335" s="87">
        <v>-2.0000000000000001E-4</v>
      </c>
      <c r="E335" s="343">
        <f t="shared" si="5"/>
        <v>0.55386788782810981</v>
      </c>
    </row>
    <row r="336" spans="1:5">
      <c r="A336" t="s">
        <v>482</v>
      </c>
      <c r="C336" s="95">
        <v>43009</v>
      </c>
      <c r="D336" s="87">
        <v>3.7000000000000002E-3</v>
      </c>
      <c r="E336" s="343">
        <f t="shared" si="5"/>
        <v>0.55417872357282438</v>
      </c>
    </row>
    <row r="337" spans="1:5">
      <c r="A337" t="s">
        <v>482</v>
      </c>
      <c r="C337" s="95">
        <v>43040</v>
      </c>
      <c r="D337" s="87">
        <v>1.8E-3</v>
      </c>
      <c r="E337" s="343">
        <f t="shared" si="5"/>
        <v>0.54844946056872002</v>
      </c>
    </row>
    <row r="338" spans="1:5">
      <c r="A338" t="s">
        <v>482</v>
      </c>
      <c r="C338" s="95">
        <v>43070</v>
      </c>
      <c r="D338" s="87">
        <v>2.5999999999999999E-3</v>
      </c>
      <c r="E338" s="343">
        <f t="shared" si="5"/>
        <v>0.54566725950161699</v>
      </c>
    </row>
    <row r="339" spans="1:5">
      <c r="A339" t="s">
        <v>482</v>
      </c>
      <c r="C339" s="95">
        <v>43101</v>
      </c>
      <c r="D339" s="87">
        <v>2.3E-3</v>
      </c>
      <c r="E339" s="343">
        <f t="shared" si="5"/>
        <v>0.54165894624138944</v>
      </c>
    </row>
    <row r="340" spans="1:5">
      <c r="A340" t="s">
        <v>482</v>
      </c>
      <c r="C340" s="95">
        <v>43132</v>
      </c>
      <c r="D340" s="87">
        <v>1.8E-3</v>
      </c>
      <c r="E340" s="343">
        <f t="shared" si="5"/>
        <v>0.53812126732653853</v>
      </c>
    </row>
    <row r="341" spans="1:5">
      <c r="A341" t="s">
        <v>482</v>
      </c>
      <c r="C341" s="95">
        <v>43160</v>
      </c>
      <c r="D341" s="87">
        <v>7.000000000000001E-4</v>
      </c>
      <c r="E341" s="343">
        <f t="shared" si="5"/>
        <v>0.53535762360405115</v>
      </c>
    </row>
    <row r="342" spans="1:5">
      <c r="A342" t="s">
        <v>482</v>
      </c>
      <c r="C342" s="95">
        <v>43191</v>
      </c>
      <c r="D342" s="87">
        <v>2.0999999999999999E-3</v>
      </c>
      <c r="E342" s="343">
        <f t="shared" si="5"/>
        <v>0.53428362506650462</v>
      </c>
    </row>
    <row r="343" spans="1:5">
      <c r="A343" t="s">
        <v>482</v>
      </c>
      <c r="C343" s="95">
        <v>43221</v>
      </c>
      <c r="D343" s="87">
        <v>4.3E-3</v>
      </c>
      <c r="E343" s="343">
        <f t="shared" si="5"/>
        <v>0.53106838146542734</v>
      </c>
    </row>
    <row r="344" spans="1:5">
      <c r="A344" t="s">
        <v>482</v>
      </c>
      <c r="C344" s="95">
        <v>43252</v>
      </c>
      <c r="D344" s="87">
        <v>1.43E-2</v>
      </c>
      <c r="E344" s="343">
        <f t="shared" si="5"/>
        <v>0.52451297567004618</v>
      </c>
    </row>
    <row r="345" spans="1:5">
      <c r="A345" t="s">
        <v>482</v>
      </c>
      <c r="C345" s="95">
        <v>43282</v>
      </c>
      <c r="D345" s="87">
        <v>2.5000000000000001E-3</v>
      </c>
      <c r="E345" s="343">
        <f t="shared" si="5"/>
        <v>0.50301979263536056</v>
      </c>
    </row>
    <row r="346" spans="1:5">
      <c r="A346" t="s">
        <v>482</v>
      </c>
      <c r="C346" s="95">
        <v>43313</v>
      </c>
      <c r="D346" s="87">
        <v>0</v>
      </c>
      <c r="E346" s="343">
        <f t="shared" si="5"/>
        <v>0.4992716136013573</v>
      </c>
    </row>
    <row r="347" spans="1:5">
      <c r="A347" t="s">
        <v>482</v>
      </c>
      <c r="C347" s="95">
        <v>43344</v>
      </c>
      <c r="D347" s="87">
        <v>3.0000000000000001E-3</v>
      </c>
      <c r="E347" s="343">
        <f t="shared" si="5"/>
        <v>0.4992716136013573</v>
      </c>
    </row>
    <row r="348" spans="1:5">
      <c r="A348" t="s">
        <v>482</v>
      </c>
      <c r="C348" s="95">
        <v>43374</v>
      </c>
      <c r="D348" s="87">
        <v>4.0000000000000001E-3</v>
      </c>
      <c r="E348" s="343">
        <f t="shared" si="5"/>
        <v>0.49478725184582006</v>
      </c>
    </row>
    <row r="349" spans="1:5">
      <c r="A349" t="s">
        <v>482</v>
      </c>
      <c r="C349" s="95">
        <v>43405</v>
      </c>
      <c r="D349" s="87">
        <v>-2.5000000000000001E-3</v>
      </c>
      <c r="E349" s="343">
        <f t="shared" ref="E349:E412" si="6">(1+E350)*(1+D349)-1</f>
        <v>0.48883192414922316</v>
      </c>
    </row>
    <row r="350" spans="1:5">
      <c r="A350" t="s">
        <v>482</v>
      </c>
      <c r="C350" s="95">
        <v>43435</v>
      </c>
      <c r="D350" s="87">
        <v>1.4000000000000002E-3</v>
      </c>
      <c r="E350" s="343">
        <f t="shared" si="6"/>
        <v>0.49256333248042417</v>
      </c>
    </row>
    <row r="351" spans="1:5">
      <c r="A351" t="s">
        <v>482</v>
      </c>
      <c r="C351" s="95">
        <v>43466</v>
      </c>
      <c r="D351" s="87">
        <v>3.5999999999999999E-3</v>
      </c>
      <c r="E351" s="343">
        <f t="shared" si="6"/>
        <v>0.49047666514921517</v>
      </c>
    </row>
    <row r="352" spans="1:5">
      <c r="A352" t="s">
        <v>482</v>
      </c>
      <c r="C352" s="95">
        <v>43497</v>
      </c>
      <c r="D352" s="87">
        <v>5.4000000000000003E-3</v>
      </c>
      <c r="E352" s="343">
        <f t="shared" si="6"/>
        <v>0.48513019644202382</v>
      </c>
    </row>
    <row r="353" spans="1:5">
      <c r="A353" t="s">
        <v>482</v>
      </c>
      <c r="C353" s="95">
        <v>43525</v>
      </c>
      <c r="D353" s="87">
        <v>7.7000000000000002E-3</v>
      </c>
      <c r="E353" s="343">
        <f t="shared" si="6"/>
        <v>0.47715356717925572</v>
      </c>
    </row>
    <row r="354" spans="1:5">
      <c r="A354" t="s">
        <v>482</v>
      </c>
      <c r="C354" s="95">
        <v>43556</v>
      </c>
      <c r="D354" s="87">
        <v>6.0000000000000001E-3</v>
      </c>
      <c r="E354" s="343">
        <f t="shared" si="6"/>
        <v>0.4658663959305902</v>
      </c>
    </row>
    <row r="355" spans="1:5">
      <c r="A355" t="s">
        <v>482</v>
      </c>
      <c r="C355" s="95">
        <v>43586</v>
      </c>
      <c r="D355" s="87">
        <v>1.5E-3</v>
      </c>
      <c r="E355" s="343">
        <f t="shared" si="6"/>
        <v>0.45712365400655086</v>
      </c>
    </row>
    <row r="356" spans="1:5">
      <c r="A356" t="s">
        <v>482</v>
      </c>
      <c r="C356" s="95">
        <v>43617</v>
      </c>
      <c r="D356" s="87">
        <v>1E-4</v>
      </c>
      <c r="E356" s="343">
        <f t="shared" si="6"/>
        <v>0.45494124214333587</v>
      </c>
    </row>
    <row r="357" spans="1:5">
      <c r="A357" t="s">
        <v>482</v>
      </c>
      <c r="C357" s="95">
        <v>43647</v>
      </c>
      <c r="D357" s="87">
        <v>1E-3</v>
      </c>
      <c r="E357" s="343">
        <f t="shared" si="6"/>
        <v>0.4547957625670791</v>
      </c>
    </row>
    <row r="358" spans="1:5">
      <c r="A358" t="s">
        <v>482</v>
      </c>
      <c r="C358" s="95">
        <v>43678</v>
      </c>
      <c r="D358" s="87">
        <v>1.1999999999999999E-3</v>
      </c>
      <c r="E358" s="343">
        <f t="shared" si="6"/>
        <v>0.45334242014693227</v>
      </c>
    </row>
    <row r="359" spans="1:5">
      <c r="A359" t="s">
        <v>482</v>
      </c>
      <c r="C359" s="95">
        <v>43709</v>
      </c>
      <c r="D359" s="87">
        <v>-5.0000000000000001E-4</v>
      </c>
      <c r="E359" s="343">
        <f t="shared" si="6"/>
        <v>0.45160049954747516</v>
      </c>
    </row>
    <row r="360" spans="1:5">
      <c r="A360" t="s">
        <v>482</v>
      </c>
      <c r="C360" s="95">
        <v>43739</v>
      </c>
      <c r="D360" s="87">
        <v>4.0000000000000002E-4</v>
      </c>
      <c r="E360" s="343">
        <f t="shared" si="6"/>
        <v>0.45232666287891443</v>
      </c>
    </row>
    <row r="361" spans="1:5">
      <c r="A361" t="s">
        <v>482</v>
      </c>
      <c r="C361" s="95">
        <v>43770</v>
      </c>
      <c r="D361" s="87">
        <v>5.4000000000000003E-3</v>
      </c>
      <c r="E361" s="343">
        <f t="shared" si="6"/>
        <v>0.45174596449311721</v>
      </c>
    </row>
    <row r="362" spans="1:5">
      <c r="A362" t="s">
        <v>482</v>
      </c>
      <c r="C362" s="95">
        <v>43800</v>
      </c>
      <c r="D362" s="87">
        <v>1.2199999999999999E-2</v>
      </c>
      <c r="E362" s="343">
        <f t="shared" si="6"/>
        <v>0.44394864182725002</v>
      </c>
    </row>
    <row r="363" spans="1:5">
      <c r="A363" t="s">
        <v>482</v>
      </c>
      <c r="C363" s="95">
        <v>43831</v>
      </c>
      <c r="D363" s="87">
        <v>1.9E-3</v>
      </c>
      <c r="E363" s="343">
        <f t="shared" si="6"/>
        <v>0.42654479532429357</v>
      </c>
    </row>
    <row r="364" spans="1:5">
      <c r="A364" t="s">
        <v>482</v>
      </c>
      <c r="C364" s="95">
        <v>43862</v>
      </c>
      <c r="D364" s="87">
        <v>1.7000000000000001E-3</v>
      </c>
      <c r="E364" s="343">
        <f t="shared" si="6"/>
        <v>0.42383950027377337</v>
      </c>
    </row>
    <row r="365" spans="1:5">
      <c r="A365" t="s">
        <v>482</v>
      </c>
      <c r="C365" s="95">
        <v>43891</v>
      </c>
      <c r="D365" s="87">
        <v>1.8E-3</v>
      </c>
      <c r="E365" s="343">
        <f t="shared" si="6"/>
        <v>0.421423081036012</v>
      </c>
    </row>
    <row r="366" spans="1:5">
      <c r="A366" t="s">
        <v>482</v>
      </c>
      <c r="C366" s="95">
        <v>43922</v>
      </c>
      <c r="D366" s="87">
        <v>-2.3E-3</v>
      </c>
      <c r="E366" s="343">
        <f t="shared" si="6"/>
        <v>0.41886911662608495</v>
      </c>
    </row>
    <row r="367" spans="1:5">
      <c r="A367" t="s">
        <v>482</v>
      </c>
      <c r="C367" s="95">
        <v>43952</v>
      </c>
      <c r="D367" s="87">
        <v>-2.5000000000000001E-3</v>
      </c>
      <c r="E367" s="343">
        <f t="shared" si="6"/>
        <v>0.42214003871512973</v>
      </c>
    </row>
    <row r="368" spans="1:5">
      <c r="A368" t="s">
        <v>482</v>
      </c>
      <c r="C368" s="95">
        <v>43983</v>
      </c>
      <c r="D368" s="87">
        <v>3.0000000000000001E-3</v>
      </c>
      <c r="E368" s="343">
        <f t="shared" si="6"/>
        <v>0.42570429946378918</v>
      </c>
    </row>
    <row r="369" spans="1:5">
      <c r="A369" t="s">
        <v>482</v>
      </c>
      <c r="C369" s="95">
        <v>44013</v>
      </c>
      <c r="D369" s="87">
        <v>4.4000000000000003E-3</v>
      </c>
      <c r="E369" s="343">
        <f t="shared" si="6"/>
        <v>0.42143997952521373</v>
      </c>
    </row>
    <row r="370" spans="1:5">
      <c r="A370" t="s">
        <v>482</v>
      </c>
      <c r="C370" s="95">
        <v>44044</v>
      </c>
      <c r="D370" s="87">
        <v>3.5999999999999999E-3</v>
      </c>
      <c r="E370" s="343">
        <f t="shared" si="6"/>
        <v>0.41521304213979859</v>
      </c>
    </row>
    <row r="371" spans="1:5">
      <c r="A371" t="s">
        <v>482</v>
      </c>
      <c r="C371" s="95">
        <v>44075</v>
      </c>
      <c r="D371" s="87">
        <v>8.6999999999999994E-3</v>
      </c>
      <c r="E371" s="343">
        <f t="shared" si="6"/>
        <v>0.41013655055779052</v>
      </c>
    </row>
    <row r="372" spans="1:5">
      <c r="A372" t="s">
        <v>482</v>
      </c>
      <c r="C372" s="95">
        <v>44105</v>
      </c>
      <c r="D372" s="87">
        <v>8.8999999999999999E-3</v>
      </c>
      <c r="E372" s="343">
        <f t="shared" si="6"/>
        <v>0.39797417523326128</v>
      </c>
    </row>
    <row r="373" spans="1:5">
      <c r="A373" t="s">
        <v>482</v>
      </c>
      <c r="C373" s="95">
        <v>44136</v>
      </c>
      <c r="D373" s="87">
        <v>9.4999999999999998E-3</v>
      </c>
      <c r="E373" s="343">
        <f t="shared" si="6"/>
        <v>0.38564196177347743</v>
      </c>
    </row>
    <row r="374" spans="1:5">
      <c r="A374" t="s">
        <v>482</v>
      </c>
      <c r="C374" s="95">
        <v>44166</v>
      </c>
      <c r="D374" s="87">
        <v>1.46E-2</v>
      </c>
      <c r="E374" s="343">
        <f t="shared" si="6"/>
        <v>0.37260224048883339</v>
      </c>
    </row>
    <row r="375" spans="1:5">
      <c r="A375" t="s">
        <v>482</v>
      </c>
      <c r="C375" s="95">
        <v>44197</v>
      </c>
      <c r="D375" s="87">
        <v>2.7000000000000001E-3</v>
      </c>
      <c r="E375" s="343">
        <f t="shared" si="6"/>
        <v>0.35285062141615753</v>
      </c>
    </row>
    <row r="376" spans="1:5">
      <c r="A376" t="s">
        <v>482</v>
      </c>
      <c r="C376" s="95">
        <v>44228</v>
      </c>
      <c r="D376" s="87">
        <v>8.199999999999999E-3</v>
      </c>
      <c r="E376" s="343">
        <f t="shared" si="6"/>
        <v>0.3492077604629078</v>
      </c>
    </row>
    <row r="377" spans="1:5">
      <c r="A377" t="s">
        <v>482</v>
      </c>
      <c r="C377" s="95">
        <v>44256</v>
      </c>
      <c r="D377" s="87">
        <v>8.6E-3</v>
      </c>
      <c r="E377" s="343">
        <f t="shared" si="6"/>
        <v>0.33823423969738919</v>
      </c>
    </row>
    <row r="378" spans="1:5">
      <c r="A378" t="s">
        <v>482</v>
      </c>
      <c r="C378" s="95">
        <v>44287</v>
      </c>
      <c r="D378" s="87">
        <v>3.8E-3</v>
      </c>
      <c r="E378" s="343">
        <f t="shared" si="6"/>
        <v>0.3268235571062752</v>
      </c>
    </row>
    <row r="379" spans="1:5">
      <c r="C379" s="95">
        <v>44317</v>
      </c>
      <c r="D379" s="339">
        <v>9.5999999999999992E-3</v>
      </c>
      <c r="E379" s="343">
        <f t="shared" si="6"/>
        <v>0.32180071439158708</v>
      </c>
    </row>
    <row r="380" spans="1:5">
      <c r="C380" s="95">
        <v>44348</v>
      </c>
      <c r="D380" s="339">
        <v>6.0000000000000001E-3</v>
      </c>
      <c r="E380" s="343">
        <f t="shared" si="6"/>
        <v>0.30923208636250687</v>
      </c>
    </row>
    <row r="381" spans="1:5">
      <c r="C381" s="95">
        <v>44378</v>
      </c>
      <c r="D381" s="339">
        <v>1.0200000000000001E-2</v>
      </c>
      <c r="E381" s="343">
        <f t="shared" si="6"/>
        <v>0.30142354509195513</v>
      </c>
    </row>
    <row r="382" spans="1:5">
      <c r="C382" s="95">
        <v>44409</v>
      </c>
      <c r="D382" s="339">
        <v>8.8000000000000005E-3</v>
      </c>
      <c r="E382" s="343">
        <f t="shared" si="6"/>
        <v>0.28828305790136133</v>
      </c>
    </row>
    <row r="383" spans="1:5">
      <c r="C383" s="95">
        <v>44440</v>
      </c>
      <c r="D383" s="339">
        <v>1.2E-2</v>
      </c>
      <c r="E383" s="343">
        <f t="shared" si="6"/>
        <v>0.2770450613613813</v>
      </c>
    </row>
    <row r="384" spans="1:5">
      <c r="C384" s="95">
        <v>44470</v>
      </c>
      <c r="D384" s="339">
        <v>1.1599999999999999E-2</v>
      </c>
      <c r="E384" s="343">
        <f t="shared" si="6"/>
        <v>0.26190223454681938</v>
      </c>
    </row>
    <row r="385" spans="3:5">
      <c r="C385" s="95">
        <v>44501</v>
      </c>
      <c r="D385" s="339">
        <v>8.3999999999999995E-3</v>
      </c>
      <c r="E385" s="343">
        <f t="shared" si="6"/>
        <v>0.24743202307910184</v>
      </c>
    </row>
    <row r="386" spans="3:5">
      <c r="C386" s="95">
        <v>44531</v>
      </c>
      <c r="D386" s="339">
        <v>7.3000000000000001E-3</v>
      </c>
      <c r="E386" s="343">
        <f t="shared" si="6"/>
        <v>0.23704087968970833</v>
      </c>
    </row>
    <row r="387" spans="3:5">
      <c r="C387" s="95">
        <v>44562</v>
      </c>
      <c r="D387" s="339">
        <v>6.7000000000000002E-3</v>
      </c>
      <c r="E387" s="343">
        <f t="shared" si="6"/>
        <v>0.22807592543403965</v>
      </c>
    </row>
    <row r="388" spans="3:5">
      <c r="C388" s="95">
        <v>44593</v>
      </c>
      <c r="D388" s="339">
        <v>0.01</v>
      </c>
      <c r="E388" s="343">
        <f t="shared" si="6"/>
        <v>0.21990257816036518</v>
      </c>
    </row>
    <row r="389" spans="3:5">
      <c r="C389" s="95">
        <v>44621</v>
      </c>
      <c r="D389" s="339">
        <v>1.7100000000000001E-2</v>
      </c>
      <c r="E389" s="343">
        <f t="shared" si="6"/>
        <v>0.20782433481224283</v>
      </c>
    </row>
    <row r="390" spans="3:5">
      <c r="C390" s="95">
        <v>44652</v>
      </c>
      <c r="D390" s="339">
        <v>1.04E-2</v>
      </c>
      <c r="E390" s="343">
        <f t="shared" si="6"/>
        <v>0.18751778076122605</v>
      </c>
    </row>
    <row r="391" spans="3:5">
      <c r="C391" s="95">
        <v>44682</v>
      </c>
      <c r="D391" s="339">
        <v>4.4999999999999997E-3</v>
      </c>
      <c r="E391" s="343">
        <f t="shared" si="6"/>
        <v>0.17529471571776134</v>
      </c>
    </row>
    <row r="392" spans="3:5">
      <c r="C392" s="95">
        <v>44713</v>
      </c>
      <c r="D392" s="339">
        <v>6.1999999999999998E-3</v>
      </c>
      <c r="E392" s="343">
        <f t="shared" si="6"/>
        <v>0.17002958259607914</v>
      </c>
    </row>
    <row r="393" spans="3:5">
      <c r="C393" s="95">
        <v>44743</v>
      </c>
      <c r="D393" s="339">
        <v>-6.0000000000000001E-3</v>
      </c>
      <c r="E393" s="343">
        <f t="shared" si="6"/>
        <v>0.16282009798855013</v>
      </c>
    </row>
    <row r="394" spans="3:5">
      <c r="C394" s="95">
        <v>44774</v>
      </c>
      <c r="D394" s="339">
        <v>-3.0999999999999999E-3</v>
      </c>
      <c r="E394" s="343">
        <f t="shared" si="6"/>
        <v>0.16983913278526175</v>
      </c>
    </row>
    <row r="395" spans="3:5">
      <c r="C395" s="95">
        <v>44805</v>
      </c>
      <c r="D395" s="339">
        <v>-3.2000000000000002E-3</v>
      </c>
      <c r="E395" s="343">
        <f t="shared" si="6"/>
        <v>0.17347691121001274</v>
      </c>
    </row>
    <row r="396" spans="3:5">
      <c r="C396" s="95">
        <v>44835</v>
      </c>
      <c r="D396" s="339">
        <v>4.7000000000000002E-3</v>
      </c>
      <c r="E396" s="343">
        <f t="shared" si="6"/>
        <v>0.17724409230538996</v>
      </c>
    </row>
    <row r="397" spans="3:5">
      <c r="C397" s="95">
        <v>44866</v>
      </c>
      <c r="D397" s="339">
        <v>3.8E-3</v>
      </c>
      <c r="E397" s="343">
        <f t="shared" si="6"/>
        <v>0.17173692874031055</v>
      </c>
    </row>
    <row r="398" spans="3:5">
      <c r="C398" s="95">
        <v>44896</v>
      </c>
      <c r="D398" s="339">
        <v>6.8999999999999999E-3</v>
      </c>
      <c r="E398" s="343">
        <f t="shared" si="6"/>
        <v>0.16730118424019769</v>
      </c>
    </row>
    <row r="399" spans="3:5">
      <c r="C399" s="95">
        <v>44927</v>
      </c>
      <c r="D399" s="339">
        <v>4.5999999999999999E-3</v>
      </c>
      <c r="E399" s="343">
        <f t="shared" si="6"/>
        <v>0.15930200043718123</v>
      </c>
    </row>
    <row r="400" spans="3:5">
      <c r="C400" s="95">
        <v>44958</v>
      </c>
      <c r="D400" s="339">
        <v>7.7000000000000002E-3</v>
      </c>
      <c r="E400" s="343">
        <f t="shared" si="6"/>
        <v>0.15399362974037567</v>
      </c>
    </row>
    <row r="401" spans="3:5">
      <c r="C401" s="95">
        <v>44986</v>
      </c>
      <c r="D401" s="339">
        <v>6.4000000000000003E-3</v>
      </c>
      <c r="E401" s="343">
        <f t="shared" si="6"/>
        <v>0.14517577626314937</v>
      </c>
    </row>
    <row r="402" spans="3:5">
      <c r="C402" s="95">
        <v>45017</v>
      </c>
      <c r="D402" s="339">
        <v>5.3E-3</v>
      </c>
      <c r="E402" s="343">
        <f t="shared" si="6"/>
        <v>0.13789325940297048</v>
      </c>
    </row>
    <row r="403" spans="3:5">
      <c r="C403" s="95">
        <v>45047</v>
      </c>
      <c r="D403" s="339">
        <v>3.5999999999999999E-3</v>
      </c>
      <c r="E403" s="343">
        <f t="shared" si="6"/>
        <v>0.13189422003677542</v>
      </c>
    </row>
    <row r="404" spans="3:5">
      <c r="C404" s="95">
        <v>45078</v>
      </c>
      <c r="D404" s="339">
        <v>-1E-3</v>
      </c>
      <c r="E404" s="343">
        <f t="shared" si="6"/>
        <v>0.12783401757351065</v>
      </c>
    </row>
    <row r="405" spans="3:5">
      <c r="C405" s="95">
        <v>45108</v>
      </c>
      <c r="D405" s="339">
        <v>-8.9999999999999998E-4</v>
      </c>
      <c r="E405" s="343">
        <f t="shared" si="6"/>
        <v>0.12896298055406463</v>
      </c>
    </row>
    <row r="406" spans="3:5">
      <c r="C406" s="95">
        <v>45139</v>
      </c>
      <c r="D406" s="339">
        <v>2E-3</v>
      </c>
      <c r="E406" s="343">
        <f t="shared" si="6"/>
        <v>0.12997996252033284</v>
      </c>
    </row>
    <row r="407" spans="3:5">
      <c r="C407" s="95">
        <v>45170</v>
      </c>
      <c r="D407" s="339">
        <v>1.1000000000000001E-3</v>
      </c>
      <c r="E407" s="343">
        <f t="shared" si="6"/>
        <v>0.12772451349334624</v>
      </c>
    </row>
    <row r="408" spans="3:5">
      <c r="C408" s="95">
        <v>45200</v>
      </c>
      <c r="D408" s="339">
        <v>1.1999999999999999E-3</v>
      </c>
      <c r="E408" s="343">
        <f t="shared" si="6"/>
        <v>0.12648537957581274</v>
      </c>
    </row>
    <row r="409" spans="3:5">
      <c r="C409" s="95">
        <v>45231</v>
      </c>
      <c r="D409" s="339">
        <v>1E-3</v>
      </c>
      <c r="E409" s="343">
        <f t="shared" si="6"/>
        <v>0.12513521731503463</v>
      </c>
    </row>
    <row r="410" spans="3:5">
      <c r="C410" s="95">
        <v>45261</v>
      </c>
      <c r="D410" s="339">
        <v>5.4999999999999997E-3</v>
      </c>
      <c r="E410" s="343">
        <f t="shared" si="6"/>
        <v>0.1240112061089258</v>
      </c>
    </row>
    <row r="411" spans="3:5">
      <c r="C411" s="95">
        <v>45292</v>
      </c>
      <c r="D411" s="339">
        <v>5.7000000000000002E-3</v>
      </c>
      <c r="E411" s="343">
        <f t="shared" si="6"/>
        <v>0.1178629598298615</v>
      </c>
    </row>
    <row r="412" spans="3:5">
      <c r="C412" s="95">
        <v>45323</v>
      </c>
      <c r="D412" s="339">
        <v>8.0999999999999996E-3</v>
      </c>
      <c r="E412" s="343">
        <f t="shared" si="6"/>
        <v>0.11152725447932932</v>
      </c>
    </row>
    <row r="413" spans="3:5">
      <c r="C413" s="95">
        <v>45352</v>
      </c>
      <c r="D413" s="339">
        <v>1.9E-3</v>
      </c>
      <c r="E413" s="343">
        <f t="shared" ref="E413:E430" si="7">(1+E414)*(1+D413)-1</f>
        <v>0.10259622505637278</v>
      </c>
    </row>
    <row r="414" spans="3:5">
      <c r="C414" s="95">
        <v>45383</v>
      </c>
      <c r="D414" s="339">
        <v>3.7000000000000002E-3</v>
      </c>
      <c r="E414" s="343">
        <f t="shared" si="7"/>
        <v>0.10050526505277246</v>
      </c>
    </row>
    <row r="415" spans="3:5">
      <c r="C415" s="95">
        <v>45413</v>
      </c>
      <c r="D415" s="339">
        <v>4.5999999999999999E-3</v>
      </c>
      <c r="E415" s="343">
        <f t="shared" si="7"/>
        <v>9.6448405950754657E-2</v>
      </c>
    </row>
    <row r="416" spans="3:5">
      <c r="C416" s="95">
        <v>45444</v>
      </c>
      <c r="D416" s="339">
        <v>2.5000000000000001E-3</v>
      </c>
      <c r="E416" s="343">
        <f t="shared" si="7"/>
        <v>9.1427837896431052E-2</v>
      </c>
    </row>
    <row r="417" spans="3:5">
      <c r="C417" s="95">
        <v>45474</v>
      </c>
      <c r="D417" s="339">
        <v>2.5999999999999999E-3</v>
      </c>
      <c r="E417" s="343">
        <f t="shared" si="7"/>
        <v>8.8706072714644479E-2</v>
      </c>
    </row>
    <row r="418" spans="3:5">
      <c r="C418" s="95">
        <v>45505</v>
      </c>
      <c r="D418" s="339">
        <v>-1.4E-3</v>
      </c>
      <c r="E418" s="343">
        <f t="shared" si="7"/>
        <v>8.588277749316231E-2</v>
      </c>
    </row>
    <row r="419" spans="3:5">
      <c r="C419" s="95">
        <v>45536</v>
      </c>
      <c r="D419" s="339">
        <v>4.7999999999999996E-3</v>
      </c>
      <c r="E419" s="343">
        <f t="shared" si="7"/>
        <v>8.7405144695736237E-2</v>
      </c>
    </row>
    <row r="420" spans="3:5">
      <c r="C420" s="95">
        <v>45566</v>
      </c>
      <c r="D420" s="339">
        <v>6.1000000000000004E-3</v>
      </c>
      <c r="E420" s="343">
        <f t="shared" si="7"/>
        <v>8.2210534131903268E-2</v>
      </c>
    </row>
    <row r="421" spans="3:5">
      <c r="C421" s="95">
        <v>45597</v>
      </c>
      <c r="D421" s="339">
        <v>3.3E-3</v>
      </c>
      <c r="E421" s="343">
        <f t="shared" si="7"/>
        <v>7.5649074775770986E-2</v>
      </c>
    </row>
    <row r="422" spans="3:5">
      <c r="C422" s="95">
        <v>45627</v>
      </c>
      <c r="D422" s="339">
        <v>4.7999999999999996E-3</v>
      </c>
      <c r="E422" s="343">
        <f t="shared" si="7"/>
        <v>7.2111108118978251E-2</v>
      </c>
    </row>
    <row r="423" spans="3:5">
      <c r="C423" s="95">
        <v>45658</v>
      </c>
      <c r="D423" s="339">
        <v>0</v>
      </c>
      <c r="E423" s="343">
        <f t="shared" si="7"/>
        <v>6.6989558239429092E-2</v>
      </c>
    </row>
    <row r="424" spans="3:5">
      <c r="C424" s="95">
        <v>45689</v>
      </c>
      <c r="D424" s="339">
        <v>1.4800000000000001E-2</v>
      </c>
      <c r="E424" s="343">
        <f t="shared" si="7"/>
        <v>6.6989558239429092E-2</v>
      </c>
    </row>
    <row r="425" spans="3:5">
      <c r="C425" s="95">
        <v>45717</v>
      </c>
      <c r="D425" s="339">
        <v>5.1000000000000004E-3</v>
      </c>
      <c r="E425" s="343">
        <f t="shared" si="7"/>
        <v>5.1428417658089476E-2</v>
      </c>
    </row>
    <row r="426" spans="3:5">
      <c r="C426" s="95">
        <v>45748</v>
      </c>
      <c r="D426" s="339">
        <v>4.7999999999999996E-3</v>
      </c>
      <c r="E426" s="343">
        <f t="shared" si="7"/>
        <v>4.6093341615848438E-2</v>
      </c>
    </row>
    <row r="427" spans="3:5">
      <c r="C427" s="95">
        <v>45778</v>
      </c>
      <c r="D427" s="339">
        <v>3.5000000000000001E-3</v>
      </c>
      <c r="E427" s="343">
        <f t="shared" si="7"/>
        <v>4.109608042978552E-2</v>
      </c>
    </row>
    <row r="428" spans="3:5">
      <c r="C428" s="95">
        <v>45809</v>
      </c>
      <c r="D428" s="339">
        <v>2.3E-3</v>
      </c>
      <c r="E428" s="343">
        <f t="shared" si="7"/>
        <v>3.7464953093956588E-2</v>
      </c>
    </row>
    <row r="429" spans="3:5">
      <c r="C429" s="95">
        <v>45839</v>
      </c>
      <c r="D429" s="339">
        <v>2.0999999999999999E-3</v>
      </c>
      <c r="E429" s="343">
        <f t="shared" si="7"/>
        <v>3.5084259297572196E-2</v>
      </c>
    </row>
    <row r="430" spans="3:5">
      <c r="C430" s="95">
        <v>45870</v>
      </c>
      <c r="D430" s="339">
        <v>-2.0999999999999999E-3</v>
      </c>
      <c r="E430" s="343">
        <f t="shared" si="7"/>
        <v>3.2915137508803705E-2</v>
      </c>
    </row>
    <row r="431" spans="3:5">
      <c r="C431" s="95">
        <v>45901</v>
      </c>
      <c r="D431" s="339">
        <v>5.1999999999999998E-3</v>
      </c>
      <c r="E431" s="343">
        <f t="shared" ref="E431:E436" si="8">(1+E432)*(1+D431)-1</f>
        <v>3.5088824039286148E-2</v>
      </c>
    </row>
    <row r="432" spans="3:5">
      <c r="C432" s="95">
        <v>45931</v>
      </c>
      <c r="D432" s="339">
        <v>2.9999999999999997E-4</v>
      </c>
      <c r="E432" s="343">
        <f t="shared" si="8"/>
        <v>2.9734206167216559E-2</v>
      </c>
    </row>
    <row r="433" spans="3:5">
      <c r="C433" s="95">
        <v>45962</v>
      </c>
      <c r="D433" s="339">
        <v>2.9999999999999997E-4</v>
      </c>
      <c r="E433" s="343">
        <f t="shared" si="8"/>
        <v>2.9425378553650461E-2</v>
      </c>
    </row>
    <row r="434" spans="3:5">
      <c r="C434" s="95">
        <v>45992</v>
      </c>
      <c r="D434" s="339">
        <v>2.0999999999999999E-3</v>
      </c>
      <c r="E434" s="343">
        <f t="shared" si="8"/>
        <v>2.91166435605823E-2</v>
      </c>
    </row>
    <row r="435" spans="3:5">
      <c r="C435" s="95">
        <v>46023</v>
      </c>
      <c r="D435" s="339">
        <v>3.8999999999999998E-3</v>
      </c>
      <c r="E435" s="343">
        <f t="shared" si="8"/>
        <v>2.6960027502826334E-2</v>
      </c>
    </row>
    <row r="436" spans="3:5">
      <c r="C436" s="95">
        <v>46054</v>
      </c>
      <c r="D436" s="339">
        <v>5.5999999999999999E-3</v>
      </c>
      <c r="E436" s="343">
        <f t="shared" si="8"/>
        <v>2.2970442776000022E-2</v>
      </c>
    </row>
    <row r="437" spans="3:5">
      <c r="C437" s="95">
        <v>46082</v>
      </c>
      <c r="D437" s="339">
        <v>9.1000000000000004E-3</v>
      </c>
      <c r="E437" s="343">
        <f>(1+E438)*(1+D437)-1</f>
        <v>1.7273709999999998E-2</v>
      </c>
    </row>
    <row r="438" spans="3:5">
      <c r="C438" s="95">
        <v>46113</v>
      </c>
      <c r="D438" s="339">
        <v>8.0999999999999996E-3</v>
      </c>
      <c r="E438" s="343">
        <f>(1+E439)*(1+D438)-1</f>
        <v>8.0999999999999961E-3</v>
      </c>
    </row>
    <row r="439" spans="3:5">
      <c r="C439" s="95">
        <v>46143</v>
      </c>
      <c r="D439" s="339">
        <v>6.4999999999999997E-3</v>
      </c>
    </row>
    <row r="440" spans="3:5">
      <c r="C440" s="95">
        <v>46174</v>
      </c>
      <c r="D440" s="339">
        <v>1.4E-3</v>
      </c>
    </row>
    <row r="441" spans="3:5">
      <c r="C441" s="95">
        <v>46204</v>
      </c>
      <c r="D441" s="339">
        <v>-1E-4</v>
      </c>
      <c r="E441" s="343">
        <f>(1+E442)*(1+D441)-1</f>
        <v>-9.9999999999988987E-5</v>
      </c>
    </row>
    <row r="442" spans="3:5">
      <c r="C442" s="95">
        <v>46235</v>
      </c>
    </row>
    <row r="443" spans="3:5">
      <c r="C443" s="95">
        <v>46266</v>
      </c>
    </row>
  </sheetData>
  <mergeCells count="1">
    <mergeCell ref="F1:G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666E-B55C-464C-A8D7-CC49610B73F0}">
  <dimension ref="B2:F11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8" sqref="B18"/>
    </sheetView>
  </sheetViews>
  <sheetFormatPr defaultColWidth="9.19921875" defaultRowHeight="13.15"/>
  <cols>
    <col min="1" max="1" width="9.19921875" style="143"/>
    <col min="2" max="2" width="36.46484375" style="143" customWidth="1"/>
    <col min="3" max="3" width="4.3984375" style="143" bestFit="1" customWidth="1"/>
    <col min="4" max="4" width="9.73046875" style="143" bestFit="1" customWidth="1"/>
    <col min="5" max="5" width="15.06640625" style="143" bestFit="1" customWidth="1"/>
    <col min="6" max="6" width="50.73046875" style="143" bestFit="1" customWidth="1"/>
    <col min="7" max="16384" width="9.19921875" style="143"/>
  </cols>
  <sheetData>
    <row r="2" spans="2:6">
      <c r="B2" s="556" t="s">
        <v>808</v>
      </c>
      <c r="C2" s="556"/>
      <c r="D2" s="556"/>
      <c r="E2" s="556"/>
      <c r="F2" s="556"/>
    </row>
    <row r="3" spans="2:6">
      <c r="B3" s="561" t="s">
        <v>423</v>
      </c>
      <c r="C3" s="561" t="s">
        <v>846</v>
      </c>
      <c r="D3" s="561" t="s">
        <v>852</v>
      </c>
      <c r="E3" s="562" t="s">
        <v>853</v>
      </c>
      <c r="F3" s="561" t="s">
        <v>10</v>
      </c>
    </row>
    <row r="4" spans="2:6">
      <c r="B4" s="561"/>
      <c r="C4" s="561"/>
      <c r="D4" s="561"/>
      <c r="E4" s="563">
        <v>46234</v>
      </c>
      <c r="F4" s="561"/>
    </row>
    <row r="5" spans="2:6">
      <c r="B5" s="557" t="s">
        <v>426</v>
      </c>
      <c r="C5" s="557"/>
      <c r="D5" s="558">
        <f>PMJ!G5</f>
        <v>775.1</v>
      </c>
      <c r="E5" s="559">
        <f>PMJ!K5</f>
        <v>1446.42</v>
      </c>
      <c r="F5" s="560" t="s">
        <v>848</v>
      </c>
    </row>
    <row r="6" spans="2:6">
      <c r="B6" s="27" t="s">
        <v>426</v>
      </c>
      <c r="C6" s="27"/>
      <c r="D6" s="554">
        <f>PMJ!G6</f>
        <v>851.5</v>
      </c>
      <c r="E6" s="555">
        <f>PMJ!K6</f>
        <v>1428.07</v>
      </c>
      <c r="F6" s="242" t="s">
        <v>847</v>
      </c>
    </row>
    <row r="7" spans="2:6">
      <c r="B7" s="27" t="s">
        <v>426</v>
      </c>
      <c r="C7" s="27"/>
      <c r="D7" s="554">
        <f>PMJ!G7</f>
        <v>918.9</v>
      </c>
      <c r="E7" s="555">
        <f>PMJ!K7</f>
        <v>1445.97</v>
      </c>
      <c r="F7" s="242" t="s">
        <v>850</v>
      </c>
    </row>
    <row r="8" spans="2:6">
      <c r="B8" s="27" t="s">
        <v>426</v>
      </c>
      <c r="C8" s="27"/>
      <c r="D8" s="554">
        <f>PMJ!G8</f>
        <v>941.89</v>
      </c>
      <c r="E8" s="555">
        <f>PMJ!K8</f>
        <v>1452.08</v>
      </c>
      <c r="F8" s="242" t="s">
        <v>851</v>
      </c>
    </row>
    <row r="9" spans="2:6">
      <c r="B9" s="27" t="s">
        <v>426</v>
      </c>
      <c r="C9" s="27"/>
      <c r="D9" s="554">
        <f>PMJ!G9+PMJ!G10</f>
        <v>2020.29</v>
      </c>
      <c r="E9" s="555">
        <f>PMJ!K9+PMJ!K10</f>
        <v>2945.46</v>
      </c>
      <c r="F9" s="242" t="s">
        <v>849</v>
      </c>
    </row>
    <row r="10" spans="2:6">
      <c r="B10" s="165"/>
      <c r="C10" s="165"/>
      <c r="D10" s="165"/>
      <c r="E10" s="158"/>
      <c r="F10" s="179"/>
    </row>
    <row r="11" spans="2:6">
      <c r="B11" s="564" t="s">
        <v>56</v>
      </c>
      <c r="C11" s="565"/>
      <c r="D11" s="566">
        <f>SUM(D5:D10)</f>
        <v>5507.68</v>
      </c>
      <c r="E11" s="566">
        <f>SUM(E5:E10)</f>
        <v>8718</v>
      </c>
      <c r="F11" s="567"/>
    </row>
  </sheetData>
  <mergeCells count="4">
    <mergeCell ref="B3:B4"/>
    <mergeCell ref="D3:D4"/>
    <mergeCell ref="F3:F4"/>
    <mergeCell ref="C3:C4"/>
  </mergeCells>
  <phoneticPr fontId="1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Z513"/>
  <sheetViews>
    <sheetView zoomScale="80" zoomScaleNormal="80" workbookViewId="0">
      <pane xSplit="2" ySplit="4" topLeftCell="L21" activePane="bottomRight" state="frozen"/>
      <selection pane="topRight" activeCell="C1" sqref="C1"/>
      <selection pane="bottomLeft" activeCell="A5" sqref="A5"/>
      <selection pane="bottomRight" activeCell="S26" sqref="S26"/>
    </sheetView>
  </sheetViews>
  <sheetFormatPr defaultColWidth="9.19921875" defaultRowHeight="13.15"/>
  <cols>
    <col min="1" max="1" width="9.19921875" style="143"/>
    <col min="2" max="2" width="36.46484375" style="143" customWidth="1"/>
    <col min="3" max="3" width="16.46484375" style="143" bestFit="1" customWidth="1"/>
    <col min="4" max="4" width="16.19921875" style="16" bestFit="1" customWidth="1"/>
    <col min="5" max="5" width="13.265625" style="143" customWidth="1"/>
    <col min="6" max="6" width="12.19921875" style="143" customWidth="1"/>
    <col min="7" max="7" width="25.796875" style="143" customWidth="1"/>
    <col min="8" max="8" width="13.19921875" style="143" customWidth="1"/>
    <col min="9" max="9" width="20.73046875" style="143" customWidth="1"/>
    <col min="10" max="10" width="10.73046875" style="143" customWidth="1"/>
    <col min="11" max="11" width="14.53125" style="143" customWidth="1"/>
    <col min="12" max="12" width="30.33203125" style="143" customWidth="1"/>
    <col min="13" max="13" width="10.53125" style="143" customWidth="1"/>
    <col min="14" max="14" width="11.46484375" style="226" customWidth="1"/>
    <col min="15" max="15" width="20.06640625" style="143" customWidth="1"/>
    <col min="16" max="16" width="6.46484375" style="226" customWidth="1"/>
    <col min="17" max="17" width="20.06640625" style="143" customWidth="1"/>
    <col min="18" max="18" width="10.06640625" style="226" bestFit="1" customWidth="1"/>
    <col min="19" max="19" width="10.73046875" style="143" bestFit="1" customWidth="1"/>
    <col min="20" max="20" width="50.73046875" style="22" customWidth="1"/>
    <col min="21" max="21" width="10.59765625" style="143" bestFit="1" customWidth="1"/>
    <col min="22" max="22" width="9.19921875" style="143"/>
    <col min="23" max="23" width="9.9296875" style="143" bestFit="1" customWidth="1"/>
    <col min="24" max="24" width="11.265625" style="143" bestFit="1" customWidth="1"/>
    <col min="25" max="25" width="10.53125" style="143" bestFit="1" customWidth="1"/>
    <col min="26" max="26" width="10.59765625" style="143" bestFit="1" customWidth="1"/>
    <col min="27" max="16384" width="9.19921875" style="143"/>
  </cols>
  <sheetData>
    <row r="2" spans="2:21" ht="13.5" thickBot="1">
      <c r="B2" s="472" t="s">
        <v>809</v>
      </c>
      <c r="C2" s="472"/>
      <c r="D2" s="472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2"/>
    </row>
    <row r="3" spans="2:21" ht="14.55" customHeight="1">
      <c r="B3" s="473" t="s">
        <v>423</v>
      </c>
      <c r="C3" s="473" t="s">
        <v>45</v>
      </c>
      <c r="D3" s="475" t="s">
        <v>66</v>
      </c>
      <c r="E3" s="481" t="s">
        <v>542</v>
      </c>
      <c r="F3" s="482"/>
      <c r="G3" s="483"/>
      <c r="H3" s="477" t="s">
        <v>428</v>
      </c>
      <c r="I3" s="480"/>
      <c r="J3" s="478"/>
      <c r="K3" s="477" t="s">
        <v>518</v>
      </c>
      <c r="L3" s="480"/>
      <c r="M3" s="478"/>
      <c r="N3" s="477" t="s">
        <v>547</v>
      </c>
      <c r="O3" s="478"/>
      <c r="P3" s="477" t="s">
        <v>547</v>
      </c>
      <c r="Q3" s="478"/>
      <c r="R3" s="486" t="s">
        <v>806</v>
      </c>
      <c r="S3" s="487"/>
      <c r="T3" s="484" t="s">
        <v>10</v>
      </c>
    </row>
    <row r="4" spans="2:21" ht="37.5" customHeight="1">
      <c r="B4" s="474"/>
      <c r="C4" s="474"/>
      <c r="D4" s="476"/>
      <c r="E4" s="101" t="s">
        <v>541</v>
      </c>
      <c r="F4" s="43" t="s">
        <v>63</v>
      </c>
      <c r="G4" s="102" t="s">
        <v>63</v>
      </c>
      <c r="H4" s="101" t="s">
        <v>541</v>
      </c>
      <c r="I4" s="43" t="s">
        <v>63</v>
      </c>
      <c r="J4" s="103" t="s">
        <v>94</v>
      </c>
      <c r="K4" s="101" t="s">
        <v>541</v>
      </c>
      <c r="L4" s="43" t="s">
        <v>63</v>
      </c>
      <c r="M4" s="103" t="s">
        <v>94</v>
      </c>
      <c r="N4" s="140" t="s">
        <v>541</v>
      </c>
      <c r="O4" s="103" t="s">
        <v>94</v>
      </c>
      <c r="P4" s="140" t="s">
        <v>541</v>
      </c>
      <c r="Q4" s="103" t="s">
        <v>94</v>
      </c>
      <c r="R4" s="267" t="s">
        <v>541</v>
      </c>
      <c r="S4" s="269" t="s">
        <v>94</v>
      </c>
      <c r="T4" s="485"/>
    </row>
    <row r="5" spans="2:21">
      <c r="B5" s="27" t="s">
        <v>424</v>
      </c>
      <c r="C5" s="27" t="s">
        <v>65</v>
      </c>
      <c r="D5" s="211" t="s">
        <v>67</v>
      </c>
      <c r="E5" s="201">
        <v>3838.95</v>
      </c>
      <c r="F5" s="151">
        <v>42135</v>
      </c>
      <c r="G5" s="151">
        <v>42135</v>
      </c>
      <c r="H5" s="201">
        <v>3838.95</v>
      </c>
      <c r="I5" s="151">
        <v>42135</v>
      </c>
      <c r="J5" s="294" t="s">
        <v>481</v>
      </c>
      <c r="K5" s="201">
        <v>3838.95</v>
      </c>
      <c r="L5" s="151">
        <v>42135</v>
      </c>
      <c r="M5" s="294" t="s">
        <v>481</v>
      </c>
      <c r="N5" s="25">
        <v>0</v>
      </c>
      <c r="O5" s="27"/>
      <c r="P5" s="295">
        <v>0</v>
      </c>
      <c r="Q5" s="207" t="s">
        <v>587</v>
      </c>
      <c r="R5" s="222">
        <v>0</v>
      </c>
      <c r="S5" s="207"/>
      <c r="T5" s="349" t="s">
        <v>570</v>
      </c>
    </row>
    <row r="6" spans="2:21">
      <c r="B6" s="207" t="s">
        <v>424</v>
      </c>
      <c r="C6" s="355" t="s">
        <v>65</v>
      </c>
      <c r="D6" s="199" t="s">
        <v>68</v>
      </c>
      <c r="E6" s="364">
        <v>3033.36</v>
      </c>
      <c r="F6" s="353">
        <v>42135</v>
      </c>
      <c r="G6" s="365">
        <v>42135</v>
      </c>
      <c r="H6" s="364">
        <v>3033.36</v>
      </c>
      <c r="I6" s="353">
        <v>42135</v>
      </c>
      <c r="J6" s="360" t="s">
        <v>481</v>
      </c>
      <c r="K6" s="364">
        <v>3033.36</v>
      </c>
      <c r="L6" s="353">
        <v>42135</v>
      </c>
      <c r="M6" s="360" t="s">
        <v>481</v>
      </c>
      <c r="N6" s="275">
        <v>3033.36</v>
      </c>
      <c r="O6" s="361" t="s">
        <v>523</v>
      </c>
      <c r="P6" s="225">
        <v>0</v>
      </c>
      <c r="Q6" s="207" t="s">
        <v>587</v>
      </c>
      <c r="R6" s="331">
        <v>0</v>
      </c>
      <c r="S6" s="355"/>
      <c r="T6" s="272" t="s">
        <v>68</v>
      </c>
    </row>
    <row r="7" spans="2:21">
      <c r="B7" s="207" t="s">
        <v>424</v>
      </c>
      <c r="C7" s="355" t="s">
        <v>65</v>
      </c>
      <c r="D7" s="200" t="s">
        <v>69</v>
      </c>
      <c r="E7" s="364">
        <v>3033.36</v>
      </c>
      <c r="F7" s="353">
        <v>42135</v>
      </c>
      <c r="G7" s="365">
        <v>42135</v>
      </c>
      <c r="H7" s="364">
        <v>3033.36</v>
      </c>
      <c r="I7" s="353">
        <v>42135</v>
      </c>
      <c r="J7" s="360" t="s">
        <v>481</v>
      </c>
      <c r="K7" s="364">
        <v>3033.36</v>
      </c>
      <c r="L7" s="353">
        <v>42135</v>
      </c>
      <c r="M7" s="360" t="s">
        <v>481</v>
      </c>
      <c r="N7" s="275">
        <v>3033.36</v>
      </c>
      <c r="O7" s="361" t="s">
        <v>523</v>
      </c>
      <c r="P7" s="225">
        <v>0</v>
      </c>
      <c r="Q7" s="207" t="s">
        <v>587</v>
      </c>
      <c r="R7" s="331">
        <v>0</v>
      </c>
      <c r="S7" s="355"/>
      <c r="T7" s="273" t="s">
        <v>69</v>
      </c>
    </row>
    <row r="8" spans="2:21">
      <c r="B8" s="207" t="s">
        <v>424</v>
      </c>
      <c r="C8" s="355" t="s">
        <v>65</v>
      </c>
      <c r="D8" s="200" t="s">
        <v>70</v>
      </c>
      <c r="E8" s="364">
        <v>908.7</v>
      </c>
      <c r="F8" s="353">
        <v>42135</v>
      </c>
      <c r="G8" s="365">
        <v>42135</v>
      </c>
      <c r="H8" s="364">
        <v>908.7</v>
      </c>
      <c r="I8" s="353">
        <v>42135</v>
      </c>
      <c r="J8" s="360" t="s">
        <v>481</v>
      </c>
      <c r="K8" s="364">
        <v>908.7</v>
      </c>
      <c r="L8" s="353">
        <v>42135</v>
      </c>
      <c r="M8" s="360" t="s">
        <v>481</v>
      </c>
      <c r="N8" s="275">
        <v>908.7</v>
      </c>
      <c r="O8" s="361" t="s">
        <v>523</v>
      </c>
      <c r="P8" s="225">
        <v>0</v>
      </c>
      <c r="Q8" s="207" t="s">
        <v>587</v>
      </c>
      <c r="R8" s="331">
        <v>0</v>
      </c>
      <c r="S8" s="355"/>
      <c r="T8" s="273" t="s">
        <v>70</v>
      </c>
    </row>
    <row r="9" spans="2:21">
      <c r="B9" s="207" t="s">
        <v>424</v>
      </c>
      <c r="C9" s="355" t="s">
        <v>65</v>
      </c>
      <c r="D9" s="200" t="s">
        <v>71</v>
      </c>
      <c r="E9" s="364">
        <v>16838.64</v>
      </c>
      <c r="F9" s="353">
        <v>42135</v>
      </c>
      <c r="G9" s="365">
        <v>42135</v>
      </c>
      <c r="H9" s="364">
        <v>16838.64</v>
      </c>
      <c r="I9" s="353">
        <v>42135</v>
      </c>
      <c r="J9" s="360" t="s">
        <v>481</v>
      </c>
      <c r="K9" s="364">
        <v>16838.64</v>
      </c>
      <c r="L9" s="353">
        <v>42135</v>
      </c>
      <c r="M9" s="360" t="s">
        <v>481</v>
      </c>
      <c r="N9" s="275">
        <v>16838.64</v>
      </c>
      <c r="O9" s="361" t="s">
        <v>523</v>
      </c>
      <c r="P9" s="225">
        <v>0</v>
      </c>
      <c r="Q9" s="207" t="s">
        <v>587</v>
      </c>
      <c r="R9" s="331">
        <v>0</v>
      </c>
      <c r="S9" s="355"/>
      <c r="T9" s="273" t="s">
        <v>71</v>
      </c>
    </row>
    <row r="10" spans="2:21">
      <c r="B10" s="207" t="s">
        <v>424</v>
      </c>
      <c r="C10" s="355" t="s">
        <v>65</v>
      </c>
      <c r="D10" s="200" t="s">
        <v>74</v>
      </c>
      <c r="E10" s="364">
        <v>510.14</v>
      </c>
      <c r="F10" s="353">
        <v>42135</v>
      </c>
      <c r="G10" s="365">
        <v>42135</v>
      </c>
      <c r="H10" s="364">
        <v>510.14</v>
      </c>
      <c r="I10" s="353">
        <v>42135</v>
      </c>
      <c r="J10" s="360" t="s">
        <v>481</v>
      </c>
      <c r="K10" s="364">
        <v>510.14</v>
      </c>
      <c r="L10" s="353">
        <v>42135</v>
      </c>
      <c r="M10" s="360" t="s">
        <v>481</v>
      </c>
      <c r="N10" s="275">
        <v>510.14</v>
      </c>
      <c r="O10" s="361" t="s">
        <v>523</v>
      </c>
      <c r="P10" s="225">
        <v>0</v>
      </c>
      <c r="Q10" s="207" t="s">
        <v>587</v>
      </c>
      <c r="R10" s="331">
        <v>0</v>
      </c>
      <c r="S10" s="355"/>
      <c r="T10" s="273" t="s">
        <v>74</v>
      </c>
    </row>
    <row r="11" spans="2:21">
      <c r="B11" s="207" t="s">
        <v>424</v>
      </c>
      <c r="C11" s="355" t="s">
        <v>65</v>
      </c>
      <c r="D11" s="200" t="s">
        <v>73</v>
      </c>
      <c r="E11" s="364">
        <v>3577.14</v>
      </c>
      <c r="F11" s="353">
        <v>42135</v>
      </c>
      <c r="G11" s="365">
        <v>42135</v>
      </c>
      <c r="H11" s="364">
        <v>0</v>
      </c>
      <c r="I11" s="224"/>
      <c r="J11" s="366"/>
      <c r="K11" s="364">
        <v>0</v>
      </c>
      <c r="L11" s="315"/>
      <c r="M11" s="293"/>
      <c r="N11" s="276">
        <v>3355.15</v>
      </c>
      <c r="O11" s="362" t="s">
        <v>523</v>
      </c>
      <c r="P11" s="327">
        <v>0</v>
      </c>
      <c r="Q11" s="207" t="s">
        <v>587</v>
      </c>
      <c r="R11" s="331">
        <v>0</v>
      </c>
      <c r="S11" s="355"/>
      <c r="T11" s="274" t="s">
        <v>86</v>
      </c>
      <c r="U11" s="328"/>
    </row>
    <row r="12" spans="2:21">
      <c r="B12" s="207" t="s">
        <v>424</v>
      </c>
      <c r="C12" s="355" t="s">
        <v>65</v>
      </c>
      <c r="D12" s="200" t="s">
        <v>75</v>
      </c>
      <c r="E12" s="364">
        <v>3602.34</v>
      </c>
      <c r="F12" s="353">
        <v>42135</v>
      </c>
      <c r="G12" s="365">
        <v>42135</v>
      </c>
      <c r="H12" s="364">
        <v>0</v>
      </c>
      <c r="I12" s="224"/>
      <c r="J12" s="366"/>
      <c r="K12" s="364">
        <v>0</v>
      </c>
      <c r="L12" s="315"/>
      <c r="M12" s="293"/>
      <c r="N12" s="276">
        <v>18484.2</v>
      </c>
      <c r="O12" s="362" t="s">
        <v>523</v>
      </c>
      <c r="P12" s="292">
        <v>0</v>
      </c>
      <c r="Q12" s="207" t="s">
        <v>587</v>
      </c>
      <c r="R12" s="331">
        <v>0</v>
      </c>
      <c r="S12" s="355"/>
      <c r="T12" s="274" t="s">
        <v>93</v>
      </c>
    </row>
    <row r="13" spans="2:21">
      <c r="B13" s="207" t="s">
        <v>424</v>
      </c>
      <c r="C13" s="355" t="s">
        <v>65</v>
      </c>
      <c r="D13" s="200" t="s">
        <v>76</v>
      </c>
      <c r="E13" s="364">
        <v>3602.34</v>
      </c>
      <c r="F13" s="353">
        <v>42135</v>
      </c>
      <c r="G13" s="365">
        <v>42135</v>
      </c>
      <c r="H13" s="364">
        <v>0</v>
      </c>
      <c r="I13" s="224"/>
      <c r="J13" s="366"/>
      <c r="K13" s="364">
        <v>0</v>
      </c>
      <c r="L13" s="315"/>
      <c r="M13" s="293"/>
      <c r="N13" s="276">
        <v>6903.6</v>
      </c>
      <c r="O13" s="362" t="s">
        <v>523</v>
      </c>
      <c r="P13" s="292">
        <v>0</v>
      </c>
      <c r="Q13" s="207" t="s">
        <v>587</v>
      </c>
      <c r="R13" s="331">
        <v>0</v>
      </c>
      <c r="S13" s="355"/>
      <c r="T13" s="274">
        <v>316617202</v>
      </c>
    </row>
    <row r="14" spans="2:21">
      <c r="B14" s="207" t="s">
        <v>424</v>
      </c>
      <c r="C14" s="355" t="s">
        <v>65</v>
      </c>
      <c r="D14" s="200" t="s">
        <v>77</v>
      </c>
      <c r="E14" s="364">
        <v>3606.98</v>
      </c>
      <c r="F14" s="353">
        <v>42135</v>
      </c>
      <c r="G14" s="365">
        <v>42135</v>
      </c>
      <c r="H14" s="364">
        <v>0</v>
      </c>
      <c r="I14" s="224"/>
      <c r="J14" s="366"/>
      <c r="K14" s="364">
        <v>0</v>
      </c>
      <c r="L14" s="315"/>
      <c r="M14" s="293"/>
      <c r="N14" s="276">
        <v>2231.62</v>
      </c>
      <c r="O14" s="362" t="s">
        <v>523</v>
      </c>
      <c r="P14" s="292">
        <v>0</v>
      </c>
      <c r="Q14" s="207" t="s">
        <v>587</v>
      </c>
      <c r="R14" s="331">
        <v>0</v>
      </c>
      <c r="S14" s="355"/>
      <c r="T14" s="274">
        <v>316617210</v>
      </c>
    </row>
    <row r="15" spans="2:21">
      <c r="B15" s="367" t="s">
        <v>424</v>
      </c>
      <c r="C15" s="368" t="s">
        <v>65</v>
      </c>
      <c r="D15" s="257" t="s">
        <v>78</v>
      </c>
      <c r="E15" s="276">
        <v>2698.27</v>
      </c>
      <c r="F15" s="369">
        <v>42135</v>
      </c>
      <c r="G15" s="370">
        <v>42135</v>
      </c>
      <c r="H15" s="276">
        <v>0</v>
      </c>
      <c r="I15" s="315"/>
      <c r="J15" s="293"/>
      <c r="K15" s="276">
        <v>0</v>
      </c>
      <c r="L15" s="315"/>
      <c r="M15" s="293"/>
      <c r="N15" s="276">
        <v>103.18</v>
      </c>
      <c r="O15" s="293" t="s">
        <v>522</v>
      </c>
      <c r="P15" s="292">
        <v>0</v>
      </c>
      <c r="Q15" s="207" t="s">
        <v>587</v>
      </c>
      <c r="R15" s="331">
        <v>0</v>
      </c>
      <c r="S15" s="355"/>
      <c r="T15" s="274">
        <v>316617300</v>
      </c>
    </row>
    <row r="16" spans="2:21">
      <c r="B16" s="367" t="s">
        <v>424</v>
      </c>
      <c r="C16" s="368" t="s">
        <v>65</v>
      </c>
      <c r="D16" s="257" t="s">
        <v>79</v>
      </c>
      <c r="E16" s="276">
        <v>1299.8</v>
      </c>
      <c r="F16" s="369">
        <v>42135</v>
      </c>
      <c r="G16" s="370">
        <v>42135</v>
      </c>
      <c r="H16" s="276">
        <v>0</v>
      </c>
      <c r="I16" s="315"/>
      <c r="J16" s="293"/>
      <c r="K16" s="276">
        <v>0</v>
      </c>
      <c r="L16" s="315"/>
      <c r="M16" s="293"/>
      <c r="N16" s="276">
        <v>123.36</v>
      </c>
      <c r="O16" s="293" t="s">
        <v>522</v>
      </c>
      <c r="P16" s="292">
        <v>0</v>
      </c>
      <c r="Q16" s="207" t="s">
        <v>587</v>
      </c>
      <c r="R16" s="331">
        <v>0</v>
      </c>
      <c r="S16" s="355"/>
      <c r="T16" s="274">
        <v>316617288</v>
      </c>
    </row>
    <row r="17" spans="2:20">
      <c r="B17" s="367" t="s">
        <v>424</v>
      </c>
      <c r="C17" s="368" t="s">
        <v>65</v>
      </c>
      <c r="D17" s="257" t="s">
        <v>80</v>
      </c>
      <c r="E17" s="276">
        <v>8982.68</v>
      </c>
      <c r="F17" s="369">
        <v>42135</v>
      </c>
      <c r="G17" s="370">
        <v>42135</v>
      </c>
      <c r="H17" s="276">
        <v>0</v>
      </c>
      <c r="I17" s="315"/>
      <c r="J17" s="293"/>
      <c r="K17" s="276">
        <v>0</v>
      </c>
      <c r="L17" s="315"/>
      <c r="M17" s="293"/>
      <c r="N17" s="276">
        <v>93.83</v>
      </c>
      <c r="O17" s="293" t="s">
        <v>569</v>
      </c>
      <c r="P17" s="327">
        <v>0</v>
      </c>
      <c r="Q17" s="207" t="s">
        <v>587</v>
      </c>
      <c r="R17" s="276">
        <v>93.83</v>
      </c>
      <c r="S17" s="293" t="s">
        <v>569</v>
      </c>
      <c r="T17" s="274">
        <v>316617350</v>
      </c>
    </row>
    <row r="18" spans="2:20">
      <c r="B18" s="367" t="s">
        <v>424</v>
      </c>
      <c r="C18" s="368" t="s">
        <v>65</v>
      </c>
      <c r="D18" s="257" t="s">
        <v>81</v>
      </c>
      <c r="E18" s="276">
        <v>4854.78</v>
      </c>
      <c r="F18" s="369">
        <v>42135</v>
      </c>
      <c r="G18" s="370">
        <v>42135</v>
      </c>
      <c r="H18" s="276">
        <v>0</v>
      </c>
      <c r="I18" s="315"/>
      <c r="J18" s="293"/>
      <c r="K18" s="276">
        <v>0</v>
      </c>
      <c r="L18" s="315"/>
      <c r="M18" s="363"/>
      <c r="N18" s="276">
        <v>134.77000000000001</v>
      </c>
      <c r="O18" s="293" t="s">
        <v>569</v>
      </c>
      <c r="P18" s="327">
        <v>0</v>
      </c>
      <c r="Q18" s="207" t="s">
        <v>587</v>
      </c>
      <c r="R18" s="276">
        <v>134.77000000000001</v>
      </c>
      <c r="S18" s="293" t="s">
        <v>569</v>
      </c>
      <c r="T18" s="274">
        <v>316617342</v>
      </c>
    </row>
    <row r="19" spans="2:20">
      <c r="B19" s="367" t="s">
        <v>424</v>
      </c>
      <c r="C19" s="368" t="s">
        <v>65</v>
      </c>
      <c r="D19" s="257" t="s">
        <v>82</v>
      </c>
      <c r="E19" s="276">
        <v>7007.37</v>
      </c>
      <c r="F19" s="369">
        <v>42135</v>
      </c>
      <c r="G19" s="370">
        <v>42135</v>
      </c>
      <c r="H19" s="276">
        <v>0</v>
      </c>
      <c r="I19" s="315"/>
      <c r="J19" s="293"/>
      <c r="K19" s="276">
        <v>0</v>
      </c>
      <c r="L19" s="315"/>
      <c r="M19" s="293"/>
      <c r="N19" s="276">
        <v>366.88</v>
      </c>
      <c r="O19" s="293" t="s">
        <v>569</v>
      </c>
      <c r="P19" s="327">
        <v>0</v>
      </c>
      <c r="Q19" s="207" t="s">
        <v>587</v>
      </c>
      <c r="R19" s="276">
        <v>366.88</v>
      </c>
      <c r="S19" s="293" t="s">
        <v>569</v>
      </c>
      <c r="T19" s="274">
        <v>316617334</v>
      </c>
    </row>
    <row r="20" spans="2:20">
      <c r="B20" s="367" t="s">
        <v>424</v>
      </c>
      <c r="C20" s="368" t="s">
        <v>65</v>
      </c>
      <c r="D20" s="257" t="s">
        <v>83</v>
      </c>
      <c r="E20" s="276">
        <v>4123.29</v>
      </c>
      <c r="F20" s="369">
        <v>42135</v>
      </c>
      <c r="G20" s="370">
        <v>42135</v>
      </c>
      <c r="H20" s="276">
        <v>0</v>
      </c>
      <c r="I20" s="315"/>
      <c r="J20" s="293"/>
      <c r="K20" s="276">
        <v>0</v>
      </c>
      <c r="L20" s="315"/>
      <c r="M20" s="293"/>
      <c r="N20" s="276">
        <v>464.43</v>
      </c>
      <c r="O20" s="293" t="s">
        <v>569</v>
      </c>
      <c r="P20" s="327">
        <v>0</v>
      </c>
      <c r="Q20" s="207" t="s">
        <v>587</v>
      </c>
      <c r="R20" s="331">
        <v>464.43</v>
      </c>
      <c r="S20" s="293" t="s">
        <v>569</v>
      </c>
      <c r="T20" s="274">
        <v>316617199</v>
      </c>
    </row>
    <row r="21" spans="2:20">
      <c r="B21" s="367" t="s">
        <v>424</v>
      </c>
      <c r="C21" s="368" t="s">
        <v>65</v>
      </c>
      <c r="D21" s="257" t="s">
        <v>84</v>
      </c>
      <c r="E21" s="276">
        <v>1798.81</v>
      </c>
      <c r="F21" s="369">
        <v>42135</v>
      </c>
      <c r="G21" s="370">
        <v>42135</v>
      </c>
      <c r="H21" s="276">
        <v>0</v>
      </c>
      <c r="I21" s="315"/>
      <c r="J21" s="293"/>
      <c r="K21" s="276">
        <v>0</v>
      </c>
      <c r="L21" s="315"/>
      <c r="M21" s="293"/>
      <c r="N21" s="276">
        <v>821.25</v>
      </c>
      <c r="O21" s="293" t="s">
        <v>522</v>
      </c>
      <c r="P21" s="292">
        <v>0</v>
      </c>
      <c r="Q21" s="207" t="s">
        <v>587</v>
      </c>
      <c r="R21" s="331">
        <v>0</v>
      </c>
      <c r="S21" s="355"/>
      <c r="T21" s="274">
        <v>316617270</v>
      </c>
    </row>
    <row r="22" spans="2:20">
      <c r="B22" s="207" t="s">
        <v>424</v>
      </c>
      <c r="C22" s="355" t="s">
        <v>65</v>
      </c>
      <c r="D22" s="200" t="s">
        <v>85</v>
      </c>
      <c r="E22" s="364">
        <v>6279.72</v>
      </c>
      <c r="F22" s="353">
        <v>42135</v>
      </c>
      <c r="G22" s="365">
        <v>42135</v>
      </c>
      <c r="H22" s="364">
        <v>0</v>
      </c>
      <c r="I22" s="224"/>
      <c r="J22" s="366"/>
      <c r="K22" s="364">
        <v>0</v>
      </c>
      <c r="L22" s="315"/>
      <c r="M22" s="293"/>
      <c r="N22" s="276">
        <v>1342.92</v>
      </c>
      <c r="O22" s="293" t="s">
        <v>522</v>
      </c>
      <c r="P22" s="292">
        <v>0</v>
      </c>
      <c r="Q22" s="207" t="s">
        <v>587</v>
      </c>
      <c r="R22" s="331">
        <v>0</v>
      </c>
      <c r="S22" s="355"/>
      <c r="T22" s="274">
        <v>316617253</v>
      </c>
    </row>
    <row r="23" spans="2:20">
      <c r="B23" s="207" t="s">
        <v>424</v>
      </c>
      <c r="C23" s="355" t="s">
        <v>65</v>
      </c>
      <c r="D23" s="200" t="s">
        <v>86</v>
      </c>
      <c r="E23" s="364">
        <v>3355.15</v>
      </c>
      <c r="F23" s="353">
        <v>42135</v>
      </c>
      <c r="G23" s="365">
        <v>42135</v>
      </c>
      <c r="H23" s="364">
        <v>3355.15</v>
      </c>
      <c r="I23" s="224"/>
      <c r="J23" s="360" t="s">
        <v>481</v>
      </c>
      <c r="K23" s="364">
        <v>3355.15</v>
      </c>
      <c r="L23" s="315"/>
      <c r="M23" s="362" t="s">
        <v>481</v>
      </c>
      <c r="N23" s="276">
        <v>2304.42</v>
      </c>
      <c r="O23" s="293" t="s">
        <v>522</v>
      </c>
      <c r="P23" s="292">
        <v>0</v>
      </c>
      <c r="Q23" s="207" t="s">
        <v>587</v>
      </c>
      <c r="R23" s="331">
        <v>0</v>
      </c>
      <c r="S23" s="355"/>
      <c r="T23" s="274">
        <v>316617180</v>
      </c>
    </row>
    <row r="24" spans="2:20">
      <c r="B24" s="207" t="s">
        <v>424</v>
      </c>
      <c r="C24" s="207" t="s">
        <v>65</v>
      </c>
      <c r="D24" s="223" t="s">
        <v>87</v>
      </c>
      <c r="E24" s="224">
        <v>3597.66</v>
      </c>
      <c r="F24" s="353">
        <v>42135</v>
      </c>
      <c r="G24" s="353">
        <v>42135</v>
      </c>
      <c r="H24" s="224">
        <v>0</v>
      </c>
      <c r="I24" s="224"/>
      <c r="J24" s="319"/>
      <c r="K24" s="224">
        <v>0</v>
      </c>
      <c r="L24" s="315"/>
      <c r="M24" s="316"/>
      <c r="N24" s="315">
        <v>2340.0300000000002</v>
      </c>
      <c r="O24" s="316" t="s">
        <v>522</v>
      </c>
      <c r="P24" s="317">
        <v>0</v>
      </c>
      <c r="Q24" s="207" t="s">
        <v>587</v>
      </c>
      <c r="R24" s="331">
        <v>0</v>
      </c>
      <c r="S24" s="207"/>
      <c r="T24" s="318">
        <v>316617261</v>
      </c>
    </row>
    <row r="25" spans="2:20">
      <c r="B25" s="207" t="s">
        <v>424</v>
      </c>
      <c r="C25" s="207" t="s">
        <v>65</v>
      </c>
      <c r="D25" s="223" t="s">
        <v>88</v>
      </c>
      <c r="E25" s="224">
        <v>14728.18</v>
      </c>
      <c r="F25" s="353">
        <v>42135</v>
      </c>
      <c r="G25" s="353">
        <v>42135</v>
      </c>
      <c r="H25" s="224">
        <v>0</v>
      </c>
      <c r="I25" s="224"/>
      <c r="J25" s="319"/>
      <c r="K25" s="224">
        <v>0</v>
      </c>
      <c r="L25" s="315"/>
      <c r="M25" s="316"/>
      <c r="N25" s="315">
        <v>2603.02</v>
      </c>
      <c r="O25" s="316" t="s">
        <v>522</v>
      </c>
      <c r="P25" s="317">
        <v>0</v>
      </c>
      <c r="Q25" s="207" t="s">
        <v>587</v>
      </c>
      <c r="R25" s="331">
        <v>0</v>
      </c>
      <c r="S25" s="207"/>
      <c r="T25" s="318">
        <v>316617237</v>
      </c>
    </row>
    <row r="26" spans="2:20">
      <c r="B26" s="207" t="s">
        <v>424</v>
      </c>
      <c r="C26" s="207" t="s">
        <v>65</v>
      </c>
      <c r="D26" s="223" t="s">
        <v>89</v>
      </c>
      <c r="E26" s="224">
        <v>1299.8</v>
      </c>
      <c r="F26" s="353">
        <v>42135</v>
      </c>
      <c r="G26" s="353">
        <v>42135</v>
      </c>
      <c r="H26" s="224">
        <v>0</v>
      </c>
      <c r="I26" s="224"/>
      <c r="J26" s="319"/>
      <c r="K26" s="224">
        <v>0</v>
      </c>
      <c r="L26" s="315"/>
      <c r="M26" s="314"/>
      <c r="N26" s="315">
        <v>3933.02</v>
      </c>
      <c r="O26" s="316" t="s">
        <v>522</v>
      </c>
      <c r="P26" s="317">
        <v>0</v>
      </c>
      <c r="Q26" s="207" t="s">
        <v>587</v>
      </c>
      <c r="R26" s="331">
        <v>0</v>
      </c>
      <c r="S26" s="207"/>
      <c r="T26" s="318">
        <v>316617245</v>
      </c>
    </row>
    <row r="27" spans="2:20">
      <c r="B27" s="207" t="s">
        <v>424</v>
      </c>
      <c r="C27" s="207" t="s">
        <v>65</v>
      </c>
      <c r="D27" s="223" t="s">
        <v>90</v>
      </c>
      <c r="E27" s="224">
        <v>908.7</v>
      </c>
      <c r="F27" s="353">
        <v>42135</v>
      </c>
      <c r="G27" s="353">
        <v>42135</v>
      </c>
      <c r="H27" s="224">
        <v>0</v>
      </c>
      <c r="I27" s="371"/>
      <c r="J27" s="319"/>
      <c r="K27" s="224">
        <v>0</v>
      </c>
      <c r="L27" s="371"/>
      <c r="M27" s="202"/>
      <c r="N27" s="224">
        <v>7639.32</v>
      </c>
      <c r="O27" s="319" t="s">
        <v>522</v>
      </c>
      <c r="P27" s="295">
        <v>0</v>
      </c>
      <c r="Q27" s="207" t="s">
        <v>587</v>
      </c>
      <c r="R27" s="331">
        <v>0</v>
      </c>
      <c r="S27" s="207"/>
      <c r="T27" s="318">
        <v>316617229</v>
      </c>
    </row>
    <row r="28" spans="2:20">
      <c r="B28" s="207" t="s">
        <v>424</v>
      </c>
      <c r="C28" s="207" t="s">
        <v>65</v>
      </c>
      <c r="D28" s="223" t="s">
        <v>91</v>
      </c>
      <c r="E28" s="224">
        <v>2722.65</v>
      </c>
      <c r="F28" s="353">
        <v>42135</v>
      </c>
      <c r="G28" s="353">
        <v>42135</v>
      </c>
      <c r="H28" s="224">
        <v>0</v>
      </c>
      <c r="I28" s="371"/>
      <c r="J28" s="319"/>
      <c r="K28" s="224">
        <v>0</v>
      </c>
      <c r="L28" s="371"/>
      <c r="M28" s="202"/>
      <c r="N28" s="320"/>
      <c r="O28" s="319"/>
      <c r="P28" s="295"/>
      <c r="Q28" s="207"/>
      <c r="R28" s="222">
        <v>0</v>
      </c>
      <c r="S28" s="207"/>
      <c r="T28" s="349"/>
    </row>
    <row r="29" spans="2:20">
      <c r="B29" s="207" t="s">
        <v>424</v>
      </c>
      <c r="C29" s="207" t="s">
        <v>65</v>
      </c>
      <c r="D29" s="223" t="s">
        <v>92</v>
      </c>
      <c r="E29" s="224">
        <v>3607.77</v>
      </c>
      <c r="F29" s="353">
        <v>42135</v>
      </c>
      <c r="G29" s="353">
        <v>42135</v>
      </c>
      <c r="H29" s="224">
        <v>0</v>
      </c>
      <c r="I29" s="371"/>
      <c r="J29" s="319"/>
      <c r="K29" s="224">
        <v>0</v>
      </c>
      <c r="L29" s="371"/>
      <c r="M29" s="202"/>
      <c r="N29" s="295"/>
      <c r="O29" s="202"/>
      <c r="P29" s="295"/>
      <c r="Q29" s="319"/>
      <c r="R29" s="222">
        <v>0</v>
      </c>
      <c r="S29" s="319"/>
      <c r="T29" s="349"/>
    </row>
    <row r="30" spans="2:20">
      <c r="B30" s="207" t="s">
        <v>424</v>
      </c>
      <c r="C30" s="207" t="s">
        <v>65</v>
      </c>
      <c r="D30" s="223" t="s">
        <v>93</v>
      </c>
      <c r="E30" s="224">
        <v>18484.2</v>
      </c>
      <c r="F30" s="353">
        <v>42135</v>
      </c>
      <c r="G30" s="353">
        <v>42135</v>
      </c>
      <c r="H30" s="224">
        <v>18484.2</v>
      </c>
      <c r="I30" s="371"/>
      <c r="J30" s="356" t="s">
        <v>481</v>
      </c>
      <c r="K30" s="224">
        <v>18484.2</v>
      </c>
      <c r="L30" s="371"/>
      <c r="M30" s="294" t="s">
        <v>481</v>
      </c>
      <c r="N30" s="295"/>
      <c r="O30" s="294"/>
      <c r="P30" s="295"/>
      <c r="Q30" s="356"/>
      <c r="R30" s="222">
        <v>0</v>
      </c>
      <c r="S30" s="356"/>
      <c r="T30" s="349"/>
    </row>
    <row r="31" spans="2:20">
      <c r="B31" s="207" t="s">
        <v>424</v>
      </c>
      <c r="C31" s="207" t="s">
        <v>65</v>
      </c>
      <c r="D31" s="223">
        <v>316617202</v>
      </c>
      <c r="E31" s="224"/>
      <c r="F31" s="353"/>
      <c r="G31" s="353"/>
      <c r="H31" s="224">
        <v>6903.6</v>
      </c>
      <c r="I31" s="372">
        <v>42135</v>
      </c>
      <c r="J31" s="319" t="s">
        <v>429</v>
      </c>
      <c r="K31" s="224">
        <v>6903.6</v>
      </c>
      <c r="L31" s="372">
        <v>42135</v>
      </c>
      <c r="M31" s="202" t="s">
        <v>429</v>
      </c>
      <c r="N31" s="295"/>
      <c r="O31" s="202"/>
      <c r="P31" s="295"/>
      <c r="Q31" s="319"/>
      <c r="R31" s="222">
        <v>0</v>
      </c>
      <c r="S31" s="319"/>
      <c r="T31" s="349"/>
    </row>
    <row r="32" spans="2:20">
      <c r="B32" s="207" t="s">
        <v>424</v>
      </c>
      <c r="C32" s="207" t="s">
        <v>65</v>
      </c>
      <c r="D32" s="223">
        <v>316617210</v>
      </c>
      <c r="E32" s="224"/>
      <c r="F32" s="353"/>
      <c r="G32" s="353"/>
      <c r="H32" s="224">
        <v>2231.62</v>
      </c>
      <c r="I32" s="372">
        <v>42135</v>
      </c>
      <c r="J32" s="319" t="s">
        <v>429</v>
      </c>
      <c r="K32" s="224">
        <v>2231.62</v>
      </c>
      <c r="L32" s="372">
        <v>42135</v>
      </c>
      <c r="M32" s="202" t="s">
        <v>429</v>
      </c>
      <c r="N32" s="295"/>
      <c r="O32" s="321"/>
      <c r="P32" s="295"/>
      <c r="Q32" s="357"/>
      <c r="R32" s="222">
        <v>0</v>
      </c>
      <c r="S32" s="357"/>
      <c r="T32" s="349"/>
    </row>
    <row r="33" spans="2:26" ht="26.25">
      <c r="B33" s="207" t="s">
        <v>425</v>
      </c>
      <c r="C33" s="207" t="s">
        <v>804</v>
      </c>
      <c r="D33" s="373">
        <v>1101000387</v>
      </c>
      <c r="E33" s="224">
        <v>61.22</v>
      </c>
      <c r="F33" s="353">
        <v>42139</v>
      </c>
      <c r="G33" s="353">
        <v>42139</v>
      </c>
      <c r="H33" s="224">
        <v>61.22</v>
      </c>
      <c r="I33" s="353">
        <v>42139</v>
      </c>
      <c r="J33" s="319" t="s">
        <v>430</v>
      </c>
      <c r="K33" s="224">
        <v>61.22</v>
      </c>
      <c r="L33" s="353">
        <v>43364</v>
      </c>
      <c r="M33" s="202" t="s">
        <v>520</v>
      </c>
      <c r="N33" s="295">
        <v>0</v>
      </c>
      <c r="O33" s="61" t="s">
        <v>562</v>
      </c>
      <c r="P33" s="295">
        <v>0</v>
      </c>
      <c r="Q33" s="358" t="s">
        <v>562</v>
      </c>
      <c r="R33" s="359">
        <v>0</v>
      </c>
      <c r="S33" s="358"/>
      <c r="T33" s="349" t="s">
        <v>796</v>
      </c>
      <c r="W33" s="175"/>
      <c r="X33">
        <v>1101000387</v>
      </c>
      <c r="Y33" s="89">
        <v>0</v>
      </c>
      <c r="Z33" s="143" t="b">
        <f t="shared" ref="Z33:Z88" si="0">D33=X33</f>
        <v>1</v>
      </c>
    </row>
    <row r="34" spans="2:26" ht="14.25">
      <c r="B34" s="207" t="s">
        <v>425</v>
      </c>
      <c r="C34" s="207" t="s">
        <v>804</v>
      </c>
      <c r="D34" s="223">
        <v>1101001288</v>
      </c>
      <c r="E34" s="224">
        <v>80802.990000000005</v>
      </c>
      <c r="F34" s="353">
        <v>42139</v>
      </c>
      <c r="G34" s="353">
        <v>42139</v>
      </c>
      <c r="H34" s="224">
        <v>80802.990000000005</v>
      </c>
      <c r="I34" s="353">
        <v>42139</v>
      </c>
      <c r="J34" s="319" t="s">
        <v>435</v>
      </c>
      <c r="K34" s="224">
        <v>16013.43</v>
      </c>
      <c r="L34" s="353">
        <v>43364</v>
      </c>
      <c r="M34" s="202" t="s">
        <v>520</v>
      </c>
      <c r="N34" s="201">
        <v>16013.43</v>
      </c>
      <c r="O34" s="202" t="s">
        <v>561</v>
      </c>
      <c r="P34" s="201"/>
      <c r="Q34" s="202"/>
      <c r="R34" s="7">
        <v>16013.43</v>
      </c>
      <c r="S34" s="202" t="s">
        <v>588</v>
      </c>
      <c r="T34" s="21" t="s">
        <v>797</v>
      </c>
      <c r="X34">
        <v>1101001288</v>
      </c>
      <c r="Y34" s="89">
        <v>16013.43</v>
      </c>
      <c r="Z34" s="143" t="b">
        <f t="shared" si="0"/>
        <v>1</v>
      </c>
    </row>
    <row r="35" spans="2:26" ht="14.25">
      <c r="B35" s="207" t="s">
        <v>425</v>
      </c>
      <c r="C35" s="207" t="s">
        <v>804</v>
      </c>
      <c r="D35" s="223">
        <v>1101005491</v>
      </c>
      <c r="E35" s="224">
        <v>282.94</v>
      </c>
      <c r="F35" s="353">
        <v>42139</v>
      </c>
      <c r="G35" s="353">
        <v>42139</v>
      </c>
      <c r="H35" s="224">
        <v>282.94</v>
      </c>
      <c r="I35" s="353">
        <v>42139</v>
      </c>
      <c r="J35" s="319" t="s">
        <v>435</v>
      </c>
      <c r="K35" s="224">
        <v>282.94</v>
      </c>
      <c r="L35" s="353">
        <v>43364</v>
      </c>
      <c r="M35" s="202" t="s">
        <v>520</v>
      </c>
      <c r="N35" s="295">
        <v>0</v>
      </c>
      <c r="O35" s="202" t="s">
        <v>561</v>
      </c>
      <c r="P35" s="295"/>
      <c r="Q35" s="202"/>
      <c r="R35" s="63">
        <v>0</v>
      </c>
      <c r="S35" s="202" t="s">
        <v>588</v>
      </c>
      <c r="T35" s="21" t="s">
        <v>798</v>
      </c>
      <c r="X35">
        <v>1101005491</v>
      </c>
      <c r="Y35" s="354">
        <v>0</v>
      </c>
      <c r="Z35" s="143" t="b">
        <f t="shared" si="0"/>
        <v>1</v>
      </c>
    </row>
    <row r="36" spans="2:26" ht="14.25">
      <c r="B36" s="207" t="s">
        <v>425</v>
      </c>
      <c r="C36" s="207" t="s">
        <v>804</v>
      </c>
      <c r="D36" s="223">
        <v>2101317567</v>
      </c>
      <c r="E36" s="224">
        <v>76224.289999999994</v>
      </c>
      <c r="F36" s="353">
        <v>42139</v>
      </c>
      <c r="G36" s="353">
        <v>42139</v>
      </c>
      <c r="H36" s="224">
        <v>76224.289999999994</v>
      </c>
      <c r="I36" s="353">
        <v>42139</v>
      </c>
      <c r="J36" s="319" t="s">
        <v>432</v>
      </c>
      <c r="K36" s="224">
        <v>21634.85</v>
      </c>
      <c r="L36" s="353">
        <v>43364</v>
      </c>
      <c r="M36" s="202" t="s">
        <v>520</v>
      </c>
      <c r="N36" s="201">
        <v>21634.85</v>
      </c>
      <c r="O36" s="202" t="s">
        <v>561</v>
      </c>
      <c r="P36" s="201"/>
      <c r="Q36" s="202"/>
      <c r="R36" s="7">
        <v>21634.85</v>
      </c>
      <c r="S36" s="202" t="s">
        <v>588</v>
      </c>
      <c r="T36" s="21" t="s">
        <v>799</v>
      </c>
      <c r="X36">
        <v>2101317567</v>
      </c>
      <c r="Y36" s="89">
        <v>21634.85</v>
      </c>
      <c r="Z36" s="143" t="b">
        <f t="shared" si="0"/>
        <v>1</v>
      </c>
    </row>
    <row r="37" spans="2:26" ht="14.25">
      <c r="B37" s="207" t="s">
        <v>425</v>
      </c>
      <c r="C37" s="207" t="s">
        <v>804</v>
      </c>
      <c r="D37" s="223">
        <v>5101002787</v>
      </c>
      <c r="E37" s="224"/>
      <c r="F37" s="353"/>
      <c r="G37" s="353"/>
      <c r="H37" s="224">
        <v>1207.52</v>
      </c>
      <c r="I37" s="372">
        <v>43418</v>
      </c>
      <c r="J37" s="319" t="s">
        <v>441</v>
      </c>
      <c r="K37" s="224">
        <v>1207.52</v>
      </c>
      <c r="L37" s="353">
        <v>43364</v>
      </c>
      <c r="M37" s="202" t="s">
        <v>520</v>
      </c>
      <c r="N37" s="201">
        <v>1207.52</v>
      </c>
      <c r="O37" s="202" t="s">
        <v>561</v>
      </c>
      <c r="P37" s="201"/>
      <c r="Q37" s="202"/>
      <c r="R37" s="7">
        <v>1207.52</v>
      </c>
      <c r="S37" s="202" t="s">
        <v>588</v>
      </c>
      <c r="T37" s="21" t="s">
        <v>798</v>
      </c>
      <c r="X37">
        <v>5101002787</v>
      </c>
      <c r="Y37" s="89">
        <v>1207.52</v>
      </c>
      <c r="Z37" s="143" t="b">
        <f t="shared" si="0"/>
        <v>1</v>
      </c>
    </row>
    <row r="38" spans="2:26" ht="14.25">
      <c r="B38" s="207" t="s">
        <v>425</v>
      </c>
      <c r="C38" s="207" t="s">
        <v>804</v>
      </c>
      <c r="D38" s="223">
        <v>5101002887</v>
      </c>
      <c r="E38" s="224"/>
      <c r="F38" s="353"/>
      <c r="G38" s="353"/>
      <c r="H38" s="224">
        <v>3220.28</v>
      </c>
      <c r="I38" s="372">
        <v>43418</v>
      </c>
      <c r="J38" s="319" t="s">
        <v>441</v>
      </c>
      <c r="K38" s="224">
        <v>3220.28</v>
      </c>
      <c r="L38" s="353">
        <v>43364</v>
      </c>
      <c r="M38" s="202" t="s">
        <v>520</v>
      </c>
      <c r="N38" s="201">
        <v>3220.28</v>
      </c>
      <c r="O38" s="202" t="s">
        <v>561</v>
      </c>
      <c r="P38" s="201"/>
      <c r="Q38" s="202"/>
      <c r="R38" s="7">
        <v>3220.28</v>
      </c>
      <c r="S38" s="202" t="s">
        <v>588</v>
      </c>
      <c r="T38" s="21" t="s">
        <v>798</v>
      </c>
      <c r="X38">
        <v>5101002887</v>
      </c>
      <c r="Y38" s="89">
        <v>3220.28</v>
      </c>
      <c r="Z38" s="143" t="b">
        <f t="shared" si="0"/>
        <v>1</v>
      </c>
    </row>
    <row r="39" spans="2:26" ht="14.25">
      <c r="B39" s="207" t="s">
        <v>425</v>
      </c>
      <c r="C39" s="207" t="s">
        <v>804</v>
      </c>
      <c r="D39" s="223">
        <v>5101002987</v>
      </c>
      <c r="E39" s="224">
        <v>44417.33</v>
      </c>
      <c r="F39" s="353">
        <v>42139</v>
      </c>
      <c r="G39" s="353">
        <v>42139</v>
      </c>
      <c r="H39" s="224">
        <v>44417.33</v>
      </c>
      <c r="I39" s="353">
        <v>42139</v>
      </c>
      <c r="J39" s="319" t="s">
        <v>433</v>
      </c>
      <c r="K39" s="224">
        <v>12749.27</v>
      </c>
      <c r="L39" s="353">
        <v>43364</v>
      </c>
      <c r="M39" s="202" t="s">
        <v>520</v>
      </c>
      <c r="N39" s="201">
        <v>12749.27</v>
      </c>
      <c r="O39" s="202" t="s">
        <v>561</v>
      </c>
      <c r="P39" s="201"/>
      <c r="Q39" s="202"/>
      <c r="R39" s="7">
        <v>12749.27</v>
      </c>
      <c r="S39" s="202" t="s">
        <v>588</v>
      </c>
      <c r="T39" s="21" t="s">
        <v>798</v>
      </c>
      <c r="X39">
        <v>5101002987</v>
      </c>
      <c r="Y39" s="89">
        <v>12749.27</v>
      </c>
      <c r="Z39" s="143" t="b">
        <f t="shared" si="0"/>
        <v>1</v>
      </c>
    </row>
    <row r="40" spans="2:26" ht="14.25">
      <c r="B40" s="27" t="s">
        <v>425</v>
      </c>
      <c r="C40" s="27" t="s">
        <v>804</v>
      </c>
      <c r="D40" s="322">
        <v>5101003187</v>
      </c>
      <c r="E40" s="201">
        <v>814.52</v>
      </c>
      <c r="F40" s="151">
        <v>42139</v>
      </c>
      <c r="G40" s="151">
        <v>42139</v>
      </c>
      <c r="H40" s="201">
        <v>814.52</v>
      </c>
      <c r="I40" s="151">
        <v>42139</v>
      </c>
      <c r="J40" s="202" t="s">
        <v>433</v>
      </c>
      <c r="K40" s="201">
        <v>234.86</v>
      </c>
      <c r="L40" s="151">
        <v>43364</v>
      </c>
      <c r="M40" s="202" t="s">
        <v>520</v>
      </c>
      <c r="N40" s="201">
        <v>234.86</v>
      </c>
      <c r="O40" s="202" t="s">
        <v>561</v>
      </c>
      <c r="P40" s="201"/>
      <c r="Q40" s="202"/>
      <c r="R40" s="7">
        <v>234.86</v>
      </c>
      <c r="S40" s="202" t="s">
        <v>588</v>
      </c>
      <c r="T40" s="21" t="s">
        <v>798</v>
      </c>
      <c r="X40">
        <v>5101003187</v>
      </c>
      <c r="Y40" s="89">
        <v>234.86</v>
      </c>
      <c r="Z40" s="143" t="b">
        <f t="shared" si="0"/>
        <v>1</v>
      </c>
    </row>
    <row r="41" spans="2:26" ht="14.25">
      <c r="B41" s="27" t="s">
        <v>425</v>
      </c>
      <c r="C41" s="27" t="s">
        <v>804</v>
      </c>
      <c r="D41" s="322">
        <v>5101003287</v>
      </c>
      <c r="E41" s="201"/>
      <c r="F41" s="151"/>
      <c r="G41" s="151"/>
      <c r="H41" s="201">
        <v>598.57000000000005</v>
      </c>
      <c r="I41" s="205">
        <v>43418</v>
      </c>
      <c r="J41" s="202" t="s">
        <v>441</v>
      </c>
      <c r="K41" s="201">
        <v>598.55999999999995</v>
      </c>
      <c r="L41" s="151">
        <v>43364</v>
      </c>
      <c r="M41" s="202" t="s">
        <v>520</v>
      </c>
      <c r="N41" s="201">
        <v>598.55999999999995</v>
      </c>
      <c r="O41" s="202" t="s">
        <v>561</v>
      </c>
      <c r="P41" s="201"/>
      <c r="Q41" s="202"/>
      <c r="R41" s="7">
        <v>598.55999999999995</v>
      </c>
      <c r="S41" s="202" t="s">
        <v>588</v>
      </c>
      <c r="T41" s="21" t="s">
        <v>798</v>
      </c>
      <c r="X41">
        <v>5101003287</v>
      </c>
      <c r="Y41" s="89">
        <v>598.55999999999995</v>
      </c>
      <c r="Z41" s="143" t="b">
        <f t="shared" si="0"/>
        <v>1</v>
      </c>
    </row>
    <row r="42" spans="2:26" ht="14.25">
      <c r="B42" s="27" t="s">
        <v>425</v>
      </c>
      <c r="C42" s="27" t="s">
        <v>804</v>
      </c>
      <c r="D42" s="322">
        <v>5101003387</v>
      </c>
      <c r="E42" s="201"/>
      <c r="F42" s="151"/>
      <c r="G42" s="151"/>
      <c r="H42" s="201">
        <v>510.37</v>
      </c>
      <c r="I42" s="205">
        <v>43418</v>
      </c>
      <c r="J42" s="202" t="s">
        <v>441</v>
      </c>
      <c r="K42" s="201">
        <v>510.37</v>
      </c>
      <c r="L42" s="151">
        <v>43364</v>
      </c>
      <c r="M42" s="202" t="s">
        <v>520</v>
      </c>
      <c r="N42" s="201">
        <v>510.37</v>
      </c>
      <c r="O42" s="202" t="s">
        <v>561</v>
      </c>
      <c r="P42" s="201"/>
      <c r="Q42" s="202"/>
      <c r="R42" s="7">
        <v>510.37</v>
      </c>
      <c r="S42" s="202" t="s">
        <v>588</v>
      </c>
      <c r="T42" s="21" t="s">
        <v>798</v>
      </c>
      <c r="X42">
        <v>5101003387</v>
      </c>
      <c r="Y42" s="89">
        <v>510.37</v>
      </c>
      <c r="Z42" s="143" t="b">
        <f t="shared" si="0"/>
        <v>1</v>
      </c>
    </row>
    <row r="43" spans="2:26" ht="14.25">
      <c r="B43" s="27" t="s">
        <v>425</v>
      </c>
      <c r="C43" s="27" t="s">
        <v>804</v>
      </c>
      <c r="D43" s="322">
        <v>5101003487</v>
      </c>
      <c r="E43" s="201"/>
      <c r="F43" s="151"/>
      <c r="G43" s="151"/>
      <c r="H43" s="201">
        <v>1028.04</v>
      </c>
      <c r="I43" s="205">
        <v>43418</v>
      </c>
      <c r="J43" s="202" t="s">
        <v>441</v>
      </c>
      <c r="K43" s="201">
        <v>1028.04</v>
      </c>
      <c r="L43" s="151">
        <v>43364</v>
      </c>
      <c r="M43" s="202" t="s">
        <v>520</v>
      </c>
      <c r="N43" s="201">
        <v>1028.04</v>
      </c>
      <c r="O43" s="202" t="s">
        <v>561</v>
      </c>
      <c r="P43" s="201"/>
      <c r="Q43" s="202"/>
      <c r="R43" s="7">
        <v>1028.04</v>
      </c>
      <c r="S43" s="202" t="s">
        <v>588</v>
      </c>
      <c r="T43" s="21" t="s">
        <v>798</v>
      </c>
      <c r="X43">
        <v>5101003487</v>
      </c>
      <c r="Y43" s="89">
        <v>1028.04</v>
      </c>
      <c r="Z43" s="143" t="b">
        <f t="shared" si="0"/>
        <v>1</v>
      </c>
    </row>
    <row r="44" spans="2:26" ht="14.25">
      <c r="B44" s="27" t="s">
        <v>425</v>
      </c>
      <c r="C44" s="27" t="s">
        <v>804</v>
      </c>
      <c r="D44" s="322">
        <v>5101003587</v>
      </c>
      <c r="E44" s="201"/>
      <c r="F44" s="151"/>
      <c r="G44" s="151"/>
      <c r="H44" s="201">
        <v>1254.45</v>
      </c>
      <c r="I44" s="205">
        <v>43418</v>
      </c>
      <c r="J44" s="202" t="s">
        <v>441</v>
      </c>
      <c r="K44" s="201">
        <v>1254.45</v>
      </c>
      <c r="L44" s="151">
        <v>43364</v>
      </c>
      <c r="M44" s="202" t="s">
        <v>520</v>
      </c>
      <c r="N44" s="201">
        <v>1254.45</v>
      </c>
      <c r="O44" s="202" t="s">
        <v>561</v>
      </c>
      <c r="P44" s="201"/>
      <c r="Q44" s="202"/>
      <c r="R44" s="7">
        <v>1254.45</v>
      </c>
      <c r="S44" s="202" t="s">
        <v>588</v>
      </c>
      <c r="T44" s="21" t="s">
        <v>798</v>
      </c>
      <c r="X44">
        <v>5101003587</v>
      </c>
      <c r="Y44" s="89">
        <v>1254.45</v>
      </c>
      <c r="Z44" s="143" t="b">
        <f t="shared" si="0"/>
        <v>1</v>
      </c>
    </row>
    <row r="45" spans="2:26" ht="14.25">
      <c r="B45" s="27" t="s">
        <v>425</v>
      </c>
      <c r="C45" s="27" t="s">
        <v>804</v>
      </c>
      <c r="D45" s="322">
        <v>5101003687</v>
      </c>
      <c r="E45" s="201">
        <v>1261.83</v>
      </c>
      <c r="F45" s="151">
        <v>42139</v>
      </c>
      <c r="G45" s="151">
        <v>42139</v>
      </c>
      <c r="H45" s="201">
        <v>1261.83</v>
      </c>
      <c r="I45" s="151">
        <v>42139</v>
      </c>
      <c r="J45" s="202" t="s">
        <v>437</v>
      </c>
      <c r="K45" s="201">
        <v>363.84</v>
      </c>
      <c r="L45" s="151">
        <v>43364</v>
      </c>
      <c r="M45" s="202" t="s">
        <v>520</v>
      </c>
      <c r="N45" s="201">
        <v>363.84</v>
      </c>
      <c r="O45" s="202" t="s">
        <v>561</v>
      </c>
      <c r="P45" s="201"/>
      <c r="Q45" s="202"/>
      <c r="R45" s="7">
        <v>363.84</v>
      </c>
      <c r="S45" s="202" t="s">
        <v>588</v>
      </c>
      <c r="T45" s="21" t="s">
        <v>798</v>
      </c>
      <c r="X45">
        <v>5101003687</v>
      </c>
      <c r="Y45" s="89">
        <v>363.84</v>
      </c>
      <c r="Z45" s="143" t="b">
        <f t="shared" si="0"/>
        <v>1</v>
      </c>
    </row>
    <row r="46" spans="2:26" ht="14.25">
      <c r="B46" s="27" t="s">
        <v>425</v>
      </c>
      <c r="C46" s="27" t="s">
        <v>804</v>
      </c>
      <c r="D46" s="322">
        <v>5101003787</v>
      </c>
      <c r="E46" s="201"/>
      <c r="F46" s="151"/>
      <c r="G46" s="151"/>
      <c r="H46" s="201">
        <v>1761.11</v>
      </c>
      <c r="I46" s="205">
        <v>43418</v>
      </c>
      <c r="J46" s="202" t="s">
        <v>441</v>
      </c>
      <c r="K46" s="201">
        <v>1761.11</v>
      </c>
      <c r="L46" s="151">
        <v>43364</v>
      </c>
      <c r="M46" s="202" t="s">
        <v>520</v>
      </c>
      <c r="N46" s="201">
        <v>1761.11</v>
      </c>
      <c r="O46" s="202" t="s">
        <v>561</v>
      </c>
      <c r="P46" s="201"/>
      <c r="Q46" s="202"/>
      <c r="R46" s="7">
        <v>1761.11</v>
      </c>
      <c r="S46" s="202" t="s">
        <v>588</v>
      </c>
      <c r="T46" s="21" t="s">
        <v>798</v>
      </c>
      <c r="X46">
        <v>5101003787</v>
      </c>
      <c r="Y46" s="89">
        <v>1761.11</v>
      </c>
      <c r="Z46" s="143" t="b">
        <f t="shared" si="0"/>
        <v>1</v>
      </c>
    </row>
    <row r="47" spans="2:26" ht="14.25">
      <c r="B47" s="27" t="s">
        <v>425</v>
      </c>
      <c r="C47" s="27" t="s">
        <v>804</v>
      </c>
      <c r="D47" s="322">
        <v>5101003887</v>
      </c>
      <c r="E47" s="201"/>
      <c r="F47" s="151"/>
      <c r="G47" s="151"/>
      <c r="H47" s="201">
        <v>3223.94</v>
      </c>
      <c r="I47" s="205">
        <v>43418</v>
      </c>
      <c r="J47" s="202" t="s">
        <v>441</v>
      </c>
      <c r="K47" s="201">
        <v>3223.94</v>
      </c>
      <c r="L47" s="151">
        <v>43364</v>
      </c>
      <c r="M47" s="202" t="s">
        <v>520</v>
      </c>
      <c r="N47" s="201">
        <v>3223.94</v>
      </c>
      <c r="O47" s="202" t="s">
        <v>561</v>
      </c>
      <c r="P47" s="201"/>
      <c r="Q47" s="202"/>
      <c r="R47" s="7">
        <v>3223.94</v>
      </c>
      <c r="S47" s="202" t="s">
        <v>588</v>
      </c>
      <c r="T47" s="21" t="s">
        <v>798</v>
      </c>
      <c r="X47">
        <v>5101003887</v>
      </c>
      <c r="Y47" s="89">
        <v>3223.94</v>
      </c>
      <c r="Z47" s="143" t="b">
        <f t="shared" si="0"/>
        <v>1</v>
      </c>
    </row>
    <row r="48" spans="2:26" ht="14.25">
      <c r="B48" s="27" t="s">
        <v>425</v>
      </c>
      <c r="C48" s="27" t="s">
        <v>804</v>
      </c>
      <c r="D48" s="322">
        <v>5101003987</v>
      </c>
      <c r="E48" s="201">
        <v>114471.49</v>
      </c>
      <c r="F48" s="151">
        <v>42139</v>
      </c>
      <c r="G48" s="151">
        <v>42139</v>
      </c>
      <c r="H48" s="201">
        <v>114471.49</v>
      </c>
      <c r="I48" s="151">
        <v>42139</v>
      </c>
      <c r="J48" s="202" t="s">
        <v>438</v>
      </c>
      <c r="K48" s="201">
        <v>33007.08</v>
      </c>
      <c r="L48" s="151">
        <v>43364</v>
      </c>
      <c r="M48" s="202" t="s">
        <v>520</v>
      </c>
      <c r="N48" s="201">
        <v>33007.08</v>
      </c>
      <c r="O48" s="202" t="s">
        <v>561</v>
      </c>
      <c r="P48" s="201"/>
      <c r="Q48" s="202"/>
      <c r="R48" s="7">
        <v>33007.08</v>
      </c>
      <c r="S48" s="202" t="s">
        <v>588</v>
      </c>
      <c r="T48" s="21" t="s">
        <v>798</v>
      </c>
      <c r="X48">
        <v>5101003987</v>
      </c>
      <c r="Y48" s="89">
        <v>33007.08</v>
      </c>
      <c r="Z48" s="143" t="b">
        <f t="shared" si="0"/>
        <v>1</v>
      </c>
    </row>
    <row r="49" spans="2:26" ht="14.25">
      <c r="B49" s="27" t="s">
        <v>425</v>
      </c>
      <c r="C49" s="27" t="s">
        <v>804</v>
      </c>
      <c r="D49" s="322">
        <v>5101004087</v>
      </c>
      <c r="E49" s="201">
        <v>5052.17</v>
      </c>
      <c r="F49" s="151">
        <v>42139</v>
      </c>
      <c r="G49" s="151">
        <v>42139</v>
      </c>
      <c r="H49" s="323">
        <v>5052.17</v>
      </c>
      <c r="I49" s="151">
        <v>42139</v>
      </c>
      <c r="J49" s="202" t="s">
        <v>436</v>
      </c>
      <c r="K49" s="201">
        <v>1456.76</v>
      </c>
      <c r="L49" s="151">
        <v>43364</v>
      </c>
      <c r="M49" s="202" t="s">
        <v>520</v>
      </c>
      <c r="N49" s="33">
        <v>1456.76</v>
      </c>
      <c r="O49" s="202" t="s">
        <v>561</v>
      </c>
      <c r="P49" s="33"/>
      <c r="Q49" s="202"/>
      <c r="R49" s="7">
        <v>1456.76</v>
      </c>
      <c r="S49" s="202" t="s">
        <v>588</v>
      </c>
      <c r="T49" s="21" t="s">
        <v>798</v>
      </c>
      <c r="X49">
        <v>5101004087</v>
      </c>
      <c r="Y49" s="89">
        <v>1456.76</v>
      </c>
      <c r="Z49" s="143" t="b">
        <f t="shared" si="0"/>
        <v>1</v>
      </c>
    </row>
    <row r="50" spans="2:26" ht="14.25">
      <c r="B50" s="27" t="s">
        <v>425</v>
      </c>
      <c r="C50" s="27" t="s">
        <v>804</v>
      </c>
      <c r="D50" s="322">
        <v>5101004187</v>
      </c>
      <c r="E50" s="201">
        <v>27532.86</v>
      </c>
      <c r="F50" s="151">
        <v>42139</v>
      </c>
      <c r="G50" s="151">
        <v>42139</v>
      </c>
      <c r="H50" s="201">
        <v>27532.86</v>
      </c>
      <c r="I50" s="151">
        <v>42139</v>
      </c>
      <c r="J50" s="202" t="s">
        <v>432</v>
      </c>
      <c r="K50" s="201">
        <v>7938.91</v>
      </c>
      <c r="L50" s="151">
        <v>43364</v>
      </c>
      <c r="M50" s="202" t="s">
        <v>520</v>
      </c>
      <c r="N50" s="201">
        <v>7938.91</v>
      </c>
      <c r="O50" s="202" t="s">
        <v>561</v>
      </c>
      <c r="P50" s="201"/>
      <c r="Q50" s="202"/>
      <c r="R50" s="7">
        <v>7938.91</v>
      </c>
      <c r="S50" s="202" t="s">
        <v>588</v>
      </c>
      <c r="T50" s="21" t="s">
        <v>798</v>
      </c>
      <c r="X50">
        <v>5101004187</v>
      </c>
      <c r="Y50" s="89">
        <v>7938.91</v>
      </c>
      <c r="Z50" s="143" t="b">
        <f t="shared" si="0"/>
        <v>1</v>
      </c>
    </row>
    <row r="51" spans="2:26" ht="14.25">
      <c r="B51" s="27" t="s">
        <v>425</v>
      </c>
      <c r="C51" s="27" t="s">
        <v>804</v>
      </c>
      <c r="D51" s="322">
        <v>5101004287</v>
      </c>
      <c r="E51" s="201"/>
      <c r="F51" s="151"/>
      <c r="G51" s="151"/>
      <c r="H51" s="201">
        <v>2008.14</v>
      </c>
      <c r="I51" s="205">
        <v>43418</v>
      </c>
      <c r="J51" s="202" t="s">
        <v>441</v>
      </c>
      <c r="K51" s="201">
        <v>2008.14</v>
      </c>
      <c r="L51" s="151">
        <v>43364</v>
      </c>
      <c r="M51" s="202" t="s">
        <v>520</v>
      </c>
      <c r="N51" s="201">
        <v>2008.14</v>
      </c>
      <c r="O51" s="202" t="s">
        <v>561</v>
      </c>
      <c r="P51" s="201"/>
      <c r="Q51" s="202"/>
      <c r="R51" s="7">
        <v>2008.14</v>
      </c>
      <c r="S51" s="202" t="s">
        <v>588</v>
      </c>
      <c r="T51" s="21" t="s">
        <v>798</v>
      </c>
      <c r="X51">
        <v>5101004287</v>
      </c>
      <c r="Y51" s="89">
        <v>2008.14</v>
      </c>
      <c r="Z51" s="143" t="b">
        <f t="shared" si="0"/>
        <v>1</v>
      </c>
    </row>
    <row r="52" spans="2:26" ht="14.25">
      <c r="B52" s="27" t="s">
        <v>425</v>
      </c>
      <c r="C52" s="27" t="s">
        <v>804</v>
      </c>
      <c r="D52" s="322">
        <v>5101004387</v>
      </c>
      <c r="E52" s="201"/>
      <c r="F52" s="151"/>
      <c r="G52" s="151"/>
      <c r="H52" s="201">
        <v>2545.75</v>
      </c>
      <c r="I52" s="205">
        <v>43418</v>
      </c>
      <c r="J52" s="202" t="s">
        <v>441</v>
      </c>
      <c r="K52" s="201">
        <v>2545.75</v>
      </c>
      <c r="L52" s="151">
        <v>43364</v>
      </c>
      <c r="M52" s="202" t="s">
        <v>520</v>
      </c>
      <c r="N52" s="201">
        <v>2545.75</v>
      </c>
      <c r="O52" s="202" t="s">
        <v>561</v>
      </c>
      <c r="P52" s="201"/>
      <c r="Q52" s="202"/>
      <c r="R52" s="7">
        <v>2545.75</v>
      </c>
      <c r="S52" s="202" t="s">
        <v>588</v>
      </c>
      <c r="T52" s="21" t="s">
        <v>798</v>
      </c>
      <c r="X52">
        <v>5101004387</v>
      </c>
      <c r="Y52" s="89">
        <v>2545.75</v>
      </c>
      <c r="Z52" s="143" t="b">
        <f t="shared" si="0"/>
        <v>1</v>
      </c>
    </row>
    <row r="53" spans="2:26" ht="14.25">
      <c r="B53" s="27" t="s">
        <v>425</v>
      </c>
      <c r="C53" s="27" t="s">
        <v>804</v>
      </c>
      <c r="D53" s="322">
        <v>5101004487</v>
      </c>
      <c r="E53" s="201">
        <v>8520.18</v>
      </c>
      <c r="F53" s="151">
        <v>42139</v>
      </c>
      <c r="G53" s="151">
        <v>42139</v>
      </c>
      <c r="H53" s="201">
        <v>8520.18</v>
      </c>
      <c r="I53" s="151">
        <v>42139</v>
      </c>
      <c r="J53" s="202" t="s">
        <v>437</v>
      </c>
      <c r="K53" s="201">
        <v>2445.58</v>
      </c>
      <c r="L53" s="151">
        <v>43364</v>
      </c>
      <c r="M53" s="202" t="s">
        <v>520</v>
      </c>
      <c r="N53" s="201">
        <v>2445.58</v>
      </c>
      <c r="O53" s="202" t="s">
        <v>561</v>
      </c>
      <c r="P53" s="201"/>
      <c r="Q53" s="202"/>
      <c r="R53" s="7">
        <v>2445.58</v>
      </c>
      <c r="S53" s="202" t="s">
        <v>588</v>
      </c>
      <c r="T53" s="21" t="s">
        <v>798</v>
      </c>
      <c r="X53">
        <v>5101004487</v>
      </c>
      <c r="Y53" s="89">
        <v>2445.58</v>
      </c>
      <c r="Z53" s="143" t="b">
        <f t="shared" si="0"/>
        <v>1</v>
      </c>
    </row>
    <row r="54" spans="2:26" ht="14.25">
      <c r="B54" s="27" t="s">
        <v>425</v>
      </c>
      <c r="C54" s="27" t="s">
        <v>804</v>
      </c>
      <c r="D54" s="322">
        <v>5101004587</v>
      </c>
      <c r="E54" s="201">
        <v>11877.55</v>
      </c>
      <c r="F54" s="151">
        <v>42139</v>
      </c>
      <c r="G54" s="151">
        <v>42139</v>
      </c>
      <c r="H54" s="201">
        <v>11877.55</v>
      </c>
      <c r="I54" s="151">
        <v>42139</v>
      </c>
      <c r="J54" s="202" t="s">
        <v>436</v>
      </c>
      <c r="K54" s="201">
        <v>3409.26</v>
      </c>
      <c r="L54" s="151">
        <v>43364</v>
      </c>
      <c r="M54" s="202" t="s">
        <v>520</v>
      </c>
      <c r="N54" s="73">
        <v>3409.26</v>
      </c>
      <c r="O54" s="202" t="s">
        <v>561</v>
      </c>
      <c r="P54" s="73"/>
      <c r="Q54" s="202"/>
      <c r="R54" s="7">
        <v>3409.26</v>
      </c>
      <c r="S54" s="202" t="s">
        <v>588</v>
      </c>
      <c r="T54" s="21" t="s">
        <v>798</v>
      </c>
      <c r="X54">
        <v>5101004587</v>
      </c>
      <c r="Y54" s="89">
        <v>3409.26</v>
      </c>
      <c r="Z54" s="143" t="b">
        <f t="shared" si="0"/>
        <v>1</v>
      </c>
    </row>
    <row r="55" spans="2:26" ht="14.25">
      <c r="B55" s="27" t="s">
        <v>425</v>
      </c>
      <c r="C55" s="27" t="s">
        <v>804</v>
      </c>
      <c r="D55" s="322">
        <v>5101004687</v>
      </c>
      <c r="E55" s="201">
        <v>35976.239999999998</v>
      </c>
      <c r="F55" s="151">
        <v>42139</v>
      </c>
      <c r="G55" s="151">
        <v>42139</v>
      </c>
      <c r="H55" s="201">
        <v>35976.239999999998</v>
      </c>
      <c r="I55" s="151">
        <v>42139</v>
      </c>
      <c r="J55" s="202" t="s">
        <v>432</v>
      </c>
      <c r="K55" s="201">
        <v>10326.4</v>
      </c>
      <c r="L55" s="151">
        <v>43364</v>
      </c>
      <c r="M55" s="202" t="s">
        <v>520</v>
      </c>
      <c r="N55" s="201">
        <v>10326.4</v>
      </c>
      <c r="O55" s="202" t="s">
        <v>561</v>
      </c>
      <c r="P55" s="201"/>
      <c r="Q55" s="202"/>
      <c r="R55" s="7">
        <v>10326.4</v>
      </c>
      <c r="S55" s="202" t="s">
        <v>588</v>
      </c>
      <c r="T55" s="21" t="s">
        <v>798</v>
      </c>
      <c r="X55">
        <v>5101004687</v>
      </c>
      <c r="Y55" s="89">
        <v>10326.4</v>
      </c>
      <c r="Z55" s="143" t="b">
        <f t="shared" si="0"/>
        <v>1</v>
      </c>
    </row>
    <row r="56" spans="2:26" ht="14.25">
      <c r="B56" s="27" t="s">
        <v>425</v>
      </c>
      <c r="C56" s="27" t="s">
        <v>804</v>
      </c>
      <c r="D56" s="175">
        <v>5101004787</v>
      </c>
      <c r="E56" s="201">
        <v>6022.83</v>
      </c>
      <c r="F56" s="151">
        <v>42139</v>
      </c>
      <c r="G56" s="151">
        <v>42139</v>
      </c>
      <c r="H56" s="201">
        <v>6022.83</v>
      </c>
      <c r="I56" s="151">
        <v>42139</v>
      </c>
      <c r="J56" s="202" t="s">
        <v>431</v>
      </c>
      <c r="K56" s="201">
        <v>1728.76</v>
      </c>
      <c r="L56" s="151">
        <v>43364</v>
      </c>
      <c r="M56" s="202" t="s">
        <v>520</v>
      </c>
      <c r="N56" s="201">
        <v>1728.76</v>
      </c>
      <c r="O56" s="202" t="s">
        <v>561</v>
      </c>
      <c r="P56" s="201"/>
      <c r="Q56" s="202"/>
      <c r="R56" s="7">
        <v>1728.76</v>
      </c>
      <c r="S56" s="202" t="s">
        <v>588</v>
      </c>
      <c r="T56" s="21" t="s">
        <v>798</v>
      </c>
      <c r="X56">
        <v>5101004787</v>
      </c>
      <c r="Y56" s="89">
        <v>1728.76</v>
      </c>
      <c r="Z56" s="143" t="b">
        <f t="shared" si="0"/>
        <v>1</v>
      </c>
    </row>
    <row r="57" spans="2:26" ht="14.25">
      <c r="B57" s="27" t="s">
        <v>425</v>
      </c>
      <c r="C57" s="27" t="s">
        <v>804</v>
      </c>
      <c r="D57" s="322">
        <v>5101004887</v>
      </c>
      <c r="E57" s="201">
        <v>103719.28</v>
      </c>
      <c r="F57" s="151">
        <v>42139</v>
      </c>
      <c r="G57" s="151">
        <v>42139</v>
      </c>
      <c r="H57" s="201">
        <v>103719.28</v>
      </c>
      <c r="I57" s="151">
        <v>42139</v>
      </c>
      <c r="J57" s="202" t="s">
        <v>438</v>
      </c>
      <c r="K57" s="201">
        <v>29770.93</v>
      </c>
      <c r="L57" s="151">
        <v>43364</v>
      </c>
      <c r="M57" s="202" t="s">
        <v>520</v>
      </c>
      <c r="N57" s="201">
        <v>29770.93</v>
      </c>
      <c r="O57" s="202" t="s">
        <v>561</v>
      </c>
      <c r="P57" s="201"/>
      <c r="Q57" s="202"/>
      <c r="R57" s="7">
        <v>29770.93</v>
      </c>
      <c r="S57" s="202" t="s">
        <v>588</v>
      </c>
      <c r="T57" s="21" t="s">
        <v>798</v>
      </c>
      <c r="X57">
        <v>5101004887</v>
      </c>
      <c r="Y57" s="89">
        <v>29770.93</v>
      </c>
      <c r="Z57" s="143" t="b">
        <f t="shared" si="0"/>
        <v>1</v>
      </c>
    </row>
    <row r="58" spans="2:26" ht="14.25">
      <c r="B58" s="27" t="s">
        <v>425</v>
      </c>
      <c r="C58" s="27" t="s">
        <v>804</v>
      </c>
      <c r="D58" s="322">
        <v>5101004987</v>
      </c>
      <c r="E58" s="201"/>
      <c r="F58" s="151"/>
      <c r="G58" s="151"/>
      <c r="H58" s="201">
        <v>3526.91</v>
      </c>
      <c r="I58" s="205">
        <v>43418</v>
      </c>
      <c r="J58" s="202" t="s">
        <v>441</v>
      </c>
      <c r="K58" s="201">
        <v>3526.91</v>
      </c>
      <c r="L58" s="151">
        <v>43364</v>
      </c>
      <c r="M58" s="202" t="s">
        <v>520</v>
      </c>
      <c r="N58" s="201">
        <v>3526.91</v>
      </c>
      <c r="O58" s="202" t="s">
        <v>561</v>
      </c>
      <c r="P58" s="201"/>
      <c r="Q58" s="202"/>
      <c r="R58" s="7">
        <v>3526.91</v>
      </c>
      <c r="S58" s="202" t="s">
        <v>588</v>
      </c>
      <c r="T58" s="21" t="s">
        <v>798</v>
      </c>
      <c r="X58">
        <v>5101004987</v>
      </c>
      <c r="Y58" s="89">
        <v>3526.91</v>
      </c>
      <c r="Z58" s="143" t="b">
        <f t="shared" si="0"/>
        <v>1</v>
      </c>
    </row>
    <row r="59" spans="2:26" ht="14.25">
      <c r="B59" s="27" t="s">
        <v>425</v>
      </c>
      <c r="C59" s="27" t="s">
        <v>804</v>
      </c>
      <c r="D59" s="322">
        <v>5101005087</v>
      </c>
      <c r="E59" s="201"/>
      <c r="F59" s="151"/>
      <c r="G59" s="151"/>
      <c r="H59" s="201">
        <v>1862.16</v>
      </c>
      <c r="I59" s="205">
        <v>43418</v>
      </c>
      <c r="J59" s="202" t="s">
        <v>441</v>
      </c>
      <c r="K59" s="201">
        <v>1862.16</v>
      </c>
      <c r="L59" s="151">
        <v>43364</v>
      </c>
      <c r="M59" s="202" t="s">
        <v>520</v>
      </c>
      <c r="N59" s="201">
        <v>1862.16</v>
      </c>
      <c r="O59" s="202" t="s">
        <v>561</v>
      </c>
      <c r="P59" s="201"/>
      <c r="Q59" s="202"/>
      <c r="R59" s="7">
        <v>1862.16</v>
      </c>
      <c r="S59" s="202" t="s">
        <v>588</v>
      </c>
      <c r="T59" s="21" t="s">
        <v>798</v>
      </c>
      <c r="X59">
        <v>5101005087</v>
      </c>
      <c r="Y59" s="89">
        <v>1862.16</v>
      </c>
      <c r="Z59" s="143" t="b">
        <f t="shared" si="0"/>
        <v>1</v>
      </c>
    </row>
    <row r="60" spans="2:26" ht="14.25">
      <c r="B60" s="27" t="s">
        <v>425</v>
      </c>
      <c r="C60" s="27" t="s">
        <v>804</v>
      </c>
      <c r="D60" s="322">
        <v>5101005187</v>
      </c>
      <c r="E60" s="201"/>
      <c r="F60" s="151"/>
      <c r="G60" s="151"/>
      <c r="H60" s="201">
        <v>692.52</v>
      </c>
      <c r="I60" s="205">
        <v>43418</v>
      </c>
      <c r="J60" s="202" t="s">
        <v>441</v>
      </c>
      <c r="K60" s="201">
        <v>692.52</v>
      </c>
      <c r="L60" s="151">
        <v>43364</v>
      </c>
      <c r="M60" s="202" t="s">
        <v>520</v>
      </c>
      <c r="N60" s="201">
        <v>692.52</v>
      </c>
      <c r="O60" s="202" t="s">
        <v>561</v>
      </c>
      <c r="P60" s="201"/>
      <c r="Q60" s="202"/>
      <c r="R60" s="7">
        <v>692.52</v>
      </c>
      <c r="S60" s="202" t="s">
        <v>588</v>
      </c>
      <c r="T60" s="21" t="s">
        <v>798</v>
      </c>
      <c r="X60">
        <v>5101005187</v>
      </c>
      <c r="Y60" s="89">
        <v>692.52</v>
      </c>
      <c r="Z60" s="143" t="b">
        <f t="shared" si="0"/>
        <v>1</v>
      </c>
    </row>
    <row r="61" spans="2:26" ht="14.25">
      <c r="B61" s="27" t="s">
        <v>425</v>
      </c>
      <c r="C61" s="27" t="s">
        <v>804</v>
      </c>
      <c r="D61" s="322">
        <v>5101005287</v>
      </c>
      <c r="E61" s="201">
        <v>5086.76</v>
      </c>
      <c r="F61" s="151">
        <v>42139</v>
      </c>
      <c r="G61" s="151">
        <v>42139</v>
      </c>
      <c r="H61" s="201">
        <v>5086.76</v>
      </c>
      <c r="I61" s="151">
        <v>42139</v>
      </c>
      <c r="J61" s="202" t="s">
        <v>436</v>
      </c>
      <c r="K61" s="201">
        <v>1453.39</v>
      </c>
      <c r="L61" s="151">
        <v>43364</v>
      </c>
      <c r="M61" s="202" t="s">
        <v>520</v>
      </c>
      <c r="N61" s="73">
        <v>1453.39</v>
      </c>
      <c r="O61" s="202" t="s">
        <v>561</v>
      </c>
      <c r="P61" s="73"/>
      <c r="Q61" s="202"/>
      <c r="R61" s="7">
        <v>1453.39</v>
      </c>
      <c r="S61" s="202" t="s">
        <v>588</v>
      </c>
      <c r="T61" s="21" t="s">
        <v>798</v>
      </c>
      <c r="X61">
        <v>5101005287</v>
      </c>
      <c r="Y61" s="89">
        <v>1453.39</v>
      </c>
      <c r="Z61" s="143" t="b">
        <f t="shared" si="0"/>
        <v>1</v>
      </c>
    </row>
    <row r="62" spans="2:26" ht="14.25">
      <c r="B62" s="27" t="s">
        <v>425</v>
      </c>
      <c r="C62" s="27" t="s">
        <v>804</v>
      </c>
      <c r="D62" s="322">
        <v>5101005387</v>
      </c>
      <c r="E62" s="201">
        <v>11396.71</v>
      </c>
      <c r="F62" s="151">
        <v>42139</v>
      </c>
      <c r="G62" s="151">
        <v>42139</v>
      </c>
      <c r="H62" s="201">
        <v>11396.71</v>
      </c>
      <c r="I62" s="151">
        <v>42139</v>
      </c>
      <c r="J62" s="202" t="s">
        <v>431</v>
      </c>
      <c r="K62" s="201">
        <v>3256.26</v>
      </c>
      <c r="L62" s="151">
        <v>43364</v>
      </c>
      <c r="M62" s="202" t="s">
        <v>520</v>
      </c>
      <c r="N62" s="201">
        <v>3256.26</v>
      </c>
      <c r="O62" s="202" t="s">
        <v>561</v>
      </c>
      <c r="P62" s="201"/>
      <c r="Q62" s="202"/>
      <c r="R62" s="7">
        <v>3256.26</v>
      </c>
      <c r="S62" s="202" t="s">
        <v>588</v>
      </c>
      <c r="T62" s="21" t="s">
        <v>798</v>
      </c>
      <c r="X62">
        <v>5101005387</v>
      </c>
      <c r="Y62" s="89">
        <v>3256.26</v>
      </c>
      <c r="Z62" s="143" t="b">
        <f t="shared" si="0"/>
        <v>1</v>
      </c>
    </row>
    <row r="63" spans="2:26" ht="14.25">
      <c r="B63" s="27" t="s">
        <v>425</v>
      </c>
      <c r="C63" s="27" t="s">
        <v>804</v>
      </c>
      <c r="D63" s="322">
        <v>5101005487</v>
      </c>
      <c r="E63" s="201">
        <v>16046.38</v>
      </c>
      <c r="F63" s="151">
        <v>42139</v>
      </c>
      <c r="G63" s="151">
        <v>42139</v>
      </c>
      <c r="H63" s="201">
        <v>16046.38</v>
      </c>
      <c r="I63" s="151">
        <v>42139</v>
      </c>
      <c r="J63" s="202" t="s">
        <v>432</v>
      </c>
      <c r="K63" s="201">
        <v>4584.76</v>
      </c>
      <c r="L63" s="151">
        <v>43364</v>
      </c>
      <c r="M63" s="202" t="s">
        <v>520</v>
      </c>
      <c r="N63" s="201">
        <v>4584.76</v>
      </c>
      <c r="O63" s="202" t="s">
        <v>561</v>
      </c>
      <c r="P63" s="201"/>
      <c r="Q63" s="202"/>
      <c r="R63" s="7">
        <v>4584.76</v>
      </c>
      <c r="S63" s="202" t="s">
        <v>588</v>
      </c>
      <c r="T63" s="21" t="s">
        <v>798</v>
      </c>
      <c r="X63">
        <v>5101005487</v>
      </c>
      <c r="Y63" s="89">
        <v>4584.76</v>
      </c>
      <c r="Z63" s="143" t="b">
        <f t="shared" si="0"/>
        <v>1</v>
      </c>
    </row>
    <row r="64" spans="2:26" ht="14.25">
      <c r="B64" s="27" t="s">
        <v>425</v>
      </c>
      <c r="C64" s="27" t="s">
        <v>804</v>
      </c>
      <c r="D64" s="322">
        <v>5101005587</v>
      </c>
      <c r="E64" s="201">
        <v>23587.95</v>
      </c>
      <c r="F64" s="151">
        <v>42139</v>
      </c>
      <c r="G64" s="151">
        <v>42139</v>
      </c>
      <c r="H64" s="201">
        <v>23587.95</v>
      </c>
      <c r="I64" s="151">
        <v>42139</v>
      </c>
      <c r="J64" s="202" t="s">
        <v>433</v>
      </c>
      <c r="K64" s="201">
        <v>6739.54</v>
      </c>
      <c r="L64" s="151">
        <v>43364</v>
      </c>
      <c r="M64" s="202" t="s">
        <v>520</v>
      </c>
      <c r="N64" s="201">
        <v>6739.54</v>
      </c>
      <c r="O64" s="202" t="s">
        <v>561</v>
      </c>
      <c r="P64" s="201"/>
      <c r="Q64" s="202"/>
      <c r="R64" s="7">
        <v>6739.54</v>
      </c>
      <c r="S64" s="202" t="s">
        <v>588</v>
      </c>
      <c r="T64" s="21" t="s">
        <v>798</v>
      </c>
      <c r="X64">
        <v>5101005587</v>
      </c>
      <c r="Y64" s="89">
        <v>6739.54</v>
      </c>
      <c r="Z64" s="143" t="b">
        <f t="shared" si="0"/>
        <v>1</v>
      </c>
    </row>
    <row r="65" spans="2:26" ht="14.25">
      <c r="B65" s="27" t="s">
        <v>425</v>
      </c>
      <c r="C65" s="27" t="s">
        <v>804</v>
      </c>
      <c r="D65" s="322">
        <v>5101005687</v>
      </c>
      <c r="E65" s="201">
        <v>60863.33</v>
      </c>
      <c r="F65" s="151">
        <v>42139</v>
      </c>
      <c r="G65" s="151">
        <v>42139</v>
      </c>
      <c r="H65" s="201">
        <v>60863.33</v>
      </c>
      <c r="I65" s="151">
        <v>42139</v>
      </c>
      <c r="J65" s="202" t="s">
        <v>438</v>
      </c>
      <c r="K65" s="201">
        <v>17389.84</v>
      </c>
      <c r="L65" s="151">
        <v>43364</v>
      </c>
      <c r="M65" s="202" t="s">
        <v>520</v>
      </c>
      <c r="N65" s="201">
        <v>17389.84</v>
      </c>
      <c r="O65" s="202" t="s">
        <v>561</v>
      </c>
      <c r="P65" s="201"/>
      <c r="Q65" s="202"/>
      <c r="R65" s="7">
        <v>17389.84</v>
      </c>
      <c r="S65" s="202" t="s">
        <v>588</v>
      </c>
      <c r="T65" s="21" t="s">
        <v>798</v>
      </c>
      <c r="X65">
        <v>5101005687</v>
      </c>
      <c r="Y65" s="89">
        <v>17389.84</v>
      </c>
      <c r="Z65" s="143" t="b">
        <f t="shared" si="0"/>
        <v>1</v>
      </c>
    </row>
    <row r="66" spans="2:26" ht="14.25">
      <c r="B66" s="27" t="s">
        <v>425</v>
      </c>
      <c r="C66" s="27" t="s">
        <v>804</v>
      </c>
      <c r="D66" s="322">
        <v>5101005787</v>
      </c>
      <c r="E66" s="201"/>
      <c r="F66" s="151"/>
      <c r="G66" s="151"/>
      <c r="H66" s="201">
        <v>994.78</v>
      </c>
      <c r="I66" s="205">
        <v>43418</v>
      </c>
      <c r="J66" s="202" t="s">
        <v>441</v>
      </c>
      <c r="K66" s="201">
        <v>994.78</v>
      </c>
      <c r="L66" s="151">
        <v>43364</v>
      </c>
      <c r="M66" s="202" t="s">
        <v>520</v>
      </c>
      <c r="N66" s="201">
        <v>994.78</v>
      </c>
      <c r="O66" s="202" t="s">
        <v>561</v>
      </c>
      <c r="P66" s="201"/>
      <c r="Q66" s="202"/>
      <c r="R66" s="7">
        <v>994.79</v>
      </c>
      <c r="S66" s="202" t="s">
        <v>588</v>
      </c>
      <c r="T66" s="21" t="s">
        <v>798</v>
      </c>
      <c r="X66">
        <v>5101005787</v>
      </c>
      <c r="Y66" s="89">
        <v>994.79</v>
      </c>
      <c r="Z66" s="143" t="b">
        <f t="shared" si="0"/>
        <v>1</v>
      </c>
    </row>
    <row r="67" spans="2:26" ht="14.25">
      <c r="B67" s="27" t="s">
        <v>425</v>
      </c>
      <c r="C67" s="27" t="s">
        <v>804</v>
      </c>
      <c r="D67" s="322">
        <v>5101005887</v>
      </c>
      <c r="E67" s="201">
        <v>4136.01</v>
      </c>
      <c r="F67" s="151">
        <v>42139</v>
      </c>
      <c r="G67" s="151">
        <v>42139</v>
      </c>
      <c r="H67" s="201">
        <v>4136.01</v>
      </c>
      <c r="I67" s="151">
        <v>42139</v>
      </c>
      <c r="J67" s="202" t="s">
        <v>434</v>
      </c>
      <c r="K67" s="201">
        <v>1181.74</v>
      </c>
      <c r="L67" s="151">
        <v>43364</v>
      </c>
      <c r="M67" s="202" t="s">
        <v>520</v>
      </c>
      <c r="N67" s="201">
        <v>1181.74</v>
      </c>
      <c r="O67" s="202" t="s">
        <v>561</v>
      </c>
      <c r="P67" s="201"/>
      <c r="Q67" s="202"/>
      <c r="R67" s="7">
        <v>1181.74</v>
      </c>
      <c r="S67" s="202" t="s">
        <v>588</v>
      </c>
      <c r="T67" s="21" t="s">
        <v>798</v>
      </c>
      <c r="X67">
        <v>5101005887</v>
      </c>
      <c r="Y67" s="89">
        <v>1181.74</v>
      </c>
      <c r="Z67" s="143" t="b">
        <f t="shared" si="0"/>
        <v>1</v>
      </c>
    </row>
    <row r="68" spans="2:26" ht="14.25">
      <c r="B68" s="27" t="s">
        <v>425</v>
      </c>
      <c r="C68" s="27" t="s">
        <v>804</v>
      </c>
      <c r="D68" s="322">
        <v>5101008587</v>
      </c>
      <c r="E68" s="201">
        <v>41734.519999999997</v>
      </c>
      <c r="F68" s="151">
        <v>42139</v>
      </c>
      <c r="G68" s="151">
        <v>42139</v>
      </c>
      <c r="H68" s="201">
        <v>41734.519999999997</v>
      </c>
      <c r="I68" s="151">
        <v>42139</v>
      </c>
      <c r="J68" s="202" t="s">
        <v>438</v>
      </c>
      <c r="K68" s="201">
        <v>11858.16</v>
      </c>
      <c r="L68" s="151">
        <v>43364</v>
      </c>
      <c r="M68" s="202" t="s">
        <v>520</v>
      </c>
      <c r="N68" s="201">
        <v>11858.16</v>
      </c>
      <c r="O68" s="202" t="s">
        <v>561</v>
      </c>
      <c r="P68" s="201"/>
      <c r="Q68" s="202"/>
      <c r="R68" s="7">
        <v>11858.16</v>
      </c>
      <c r="S68" s="202" t="s">
        <v>588</v>
      </c>
      <c r="T68" s="21" t="s">
        <v>800</v>
      </c>
      <c r="X68">
        <v>5101008587</v>
      </c>
      <c r="Y68" s="89">
        <v>11858.16</v>
      </c>
      <c r="Z68" s="143" t="b">
        <f t="shared" si="0"/>
        <v>1</v>
      </c>
    </row>
    <row r="69" spans="2:26" ht="14.25">
      <c r="B69" s="27" t="s">
        <v>425</v>
      </c>
      <c r="C69" s="27" t="s">
        <v>804</v>
      </c>
      <c r="D69" s="322">
        <v>5101008687</v>
      </c>
      <c r="E69" s="201">
        <v>12698.31</v>
      </c>
      <c r="F69" s="151">
        <v>42139</v>
      </c>
      <c r="G69" s="151">
        <v>42139</v>
      </c>
      <c r="H69" s="201">
        <v>12698.31</v>
      </c>
      <c r="I69" s="151">
        <v>42139</v>
      </c>
      <c r="J69" s="202" t="s">
        <v>432</v>
      </c>
      <c r="K69" s="201">
        <v>3608.01</v>
      </c>
      <c r="L69" s="151">
        <v>43364</v>
      </c>
      <c r="M69" s="202" t="s">
        <v>520</v>
      </c>
      <c r="N69" s="201">
        <v>3608.01</v>
      </c>
      <c r="O69" s="202" t="s">
        <v>561</v>
      </c>
      <c r="P69" s="201"/>
      <c r="Q69" s="202"/>
      <c r="R69" s="7">
        <v>3608.01</v>
      </c>
      <c r="S69" s="202" t="s">
        <v>588</v>
      </c>
      <c r="T69" s="21" t="s">
        <v>800</v>
      </c>
      <c r="X69">
        <v>5101008687</v>
      </c>
      <c r="Y69" s="89">
        <v>3608.01</v>
      </c>
      <c r="Z69" s="143" t="b">
        <f t="shared" si="0"/>
        <v>1</v>
      </c>
    </row>
    <row r="70" spans="2:26" ht="14.25">
      <c r="B70" s="27" t="s">
        <v>425</v>
      </c>
      <c r="C70" s="27" t="s">
        <v>804</v>
      </c>
      <c r="D70" s="322">
        <v>5101008787</v>
      </c>
      <c r="E70" s="201">
        <v>5637.26</v>
      </c>
      <c r="F70" s="151">
        <v>42139</v>
      </c>
      <c r="G70" s="151">
        <v>42139</v>
      </c>
      <c r="H70" s="201">
        <v>5637.26</v>
      </c>
      <c r="I70" s="151">
        <v>42139</v>
      </c>
      <c r="J70" s="202" t="s">
        <v>431</v>
      </c>
      <c r="K70" s="201">
        <v>1601.73</v>
      </c>
      <c r="L70" s="151">
        <v>43364</v>
      </c>
      <c r="M70" s="202" t="s">
        <v>520</v>
      </c>
      <c r="N70" s="201">
        <v>1601.73</v>
      </c>
      <c r="O70" s="202" t="s">
        <v>561</v>
      </c>
      <c r="P70" s="201"/>
      <c r="Q70" s="202"/>
      <c r="R70" s="7">
        <v>1601.73</v>
      </c>
      <c r="S70" s="202" t="s">
        <v>588</v>
      </c>
      <c r="T70" s="21" t="s">
        <v>800</v>
      </c>
      <c r="X70">
        <v>5101008787</v>
      </c>
      <c r="Y70" s="89">
        <v>1601.73</v>
      </c>
      <c r="Z70" s="143" t="b">
        <f t="shared" si="0"/>
        <v>1</v>
      </c>
    </row>
    <row r="71" spans="2:26" ht="14.25">
      <c r="B71" s="27" t="s">
        <v>425</v>
      </c>
      <c r="C71" s="27" t="s">
        <v>804</v>
      </c>
      <c r="D71" s="322">
        <v>5101008887</v>
      </c>
      <c r="E71" s="201">
        <v>4717.76</v>
      </c>
      <c r="F71" s="151">
        <v>42139</v>
      </c>
      <c r="G71" s="151">
        <v>42139</v>
      </c>
      <c r="H71" s="201">
        <v>4717.76</v>
      </c>
      <c r="I71" s="151">
        <v>42139</v>
      </c>
      <c r="J71" s="202" t="s">
        <v>434</v>
      </c>
      <c r="K71" s="201">
        <v>1340.47</v>
      </c>
      <c r="L71" s="151">
        <v>43364</v>
      </c>
      <c r="M71" s="202" t="s">
        <v>520</v>
      </c>
      <c r="N71" s="201">
        <v>1340.47</v>
      </c>
      <c r="O71" s="202" t="s">
        <v>561</v>
      </c>
      <c r="P71" s="201"/>
      <c r="Q71" s="202"/>
      <c r="R71" s="7">
        <v>1340.47</v>
      </c>
      <c r="S71" s="202" t="s">
        <v>588</v>
      </c>
      <c r="T71" s="21" t="s">
        <v>800</v>
      </c>
      <c r="X71">
        <v>5101008887</v>
      </c>
      <c r="Y71" s="89">
        <v>1340.47</v>
      </c>
      <c r="Z71" s="143" t="b">
        <f t="shared" si="0"/>
        <v>1</v>
      </c>
    </row>
    <row r="72" spans="2:26" ht="14.25">
      <c r="B72" s="27" t="s">
        <v>425</v>
      </c>
      <c r="C72" s="27" t="s">
        <v>804</v>
      </c>
      <c r="D72" s="322">
        <v>5101008987</v>
      </c>
      <c r="E72" s="201">
        <v>11505.2</v>
      </c>
      <c r="F72" s="151">
        <v>42139</v>
      </c>
      <c r="G72" s="151">
        <v>42139</v>
      </c>
      <c r="H72" s="201">
        <v>11505.2</v>
      </c>
      <c r="I72" s="151">
        <v>42139</v>
      </c>
      <c r="J72" s="202" t="s">
        <v>433</v>
      </c>
      <c r="K72" s="201">
        <v>3269.01</v>
      </c>
      <c r="L72" s="151">
        <v>43364</v>
      </c>
      <c r="M72" s="202" t="s">
        <v>520</v>
      </c>
      <c r="N72" s="201">
        <v>3269.01</v>
      </c>
      <c r="O72" s="202" t="s">
        <v>561</v>
      </c>
      <c r="P72" s="201"/>
      <c r="Q72" s="202"/>
      <c r="R72" s="7">
        <v>3269.01</v>
      </c>
      <c r="S72" s="202" t="s">
        <v>588</v>
      </c>
      <c r="T72" s="21" t="s">
        <v>800</v>
      </c>
      <c r="X72">
        <v>5101008987</v>
      </c>
      <c r="Y72" s="89">
        <v>3269.01</v>
      </c>
      <c r="Z72" s="143" t="b">
        <f t="shared" si="0"/>
        <v>1</v>
      </c>
    </row>
    <row r="73" spans="2:26" ht="14.25">
      <c r="B73" s="27" t="s">
        <v>425</v>
      </c>
      <c r="C73" s="27" t="s">
        <v>804</v>
      </c>
      <c r="D73" s="322">
        <v>5101009087</v>
      </c>
      <c r="E73" s="201">
        <v>5047.2</v>
      </c>
      <c r="F73" s="151">
        <v>42139</v>
      </c>
      <c r="G73" s="151">
        <v>42139</v>
      </c>
      <c r="H73" s="201">
        <v>5047.2</v>
      </c>
      <c r="I73" s="151">
        <v>42139</v>
      </c>
      <c r="J73" s="202" t="s">
        <v>436</v>
      </c>
      <c r="K73" s="201">
        <v>1434.07</v>
      </c>
      <c r="L73" s="151">
        <v>43364</v>
      </c>
      <c r="M73" s="202" t="s">
        <v>520</v>
      </c>
      <c r="N73" s="201">
        <v>1434.07</v>
      </c>
      <c r="O73" s="202" t="s">
        <v>561</v>
      </c>
      <c r="P73" s="201"/>
      <c r="Q73" s="202"/>
      <c r="R73" s="7">
        <v>1434.07</v>
      </c>
      <c r="S73" s="202" t="s">
        <v>588</v>
      </c>
      <c r="T73" s="21" t="s">
        <v>800</v>
      </c>
      <c r="X73">
        <v>5101009087</v>
      </c>
      <c r="Y73" s="89">
        <v>1434.07</v>
      </c>
      <c r="Z73" s="143" t="b">
        <f t="shared" si="0"/>
        <v>1</v>
      </c>
    </row>
    <row r="74" spans="2:26" ht="14.25">
      <c r="B74" s="27" t="s">
        <v>425</v>
      </c>
      <c r="C74" s="27" t="s">
        <v>804</v>
      </c>
      <c r="D74" s="322">
        <v>5101009187</v>
      </c>
      <c r="E74" s="201"/>
      <c r="F74" s="151"/>
      <c r="G74" s="151"/>
      <c r="H74" s="201">
        <v>4149.34</v>
      </c>
      <c r="I74" s="205">
        <v>43418</v>
      </c>
      <c r="J74" s="202" t="s">
        <v>441</v>
      </c>
      <c r="K74" s="201">
        <v>4149.33</v>
      </c>
      <c r="L74" s="151">
        <v>43364</v>
      </c>
      <c r="M74" s="202" t="s">
        <v>520</v>
      </c>
      <c r="N74" s="201">
        <v>4149.33</v>
      </c>
      <c r="O74" s="202" t="s">
        <v>561</v>
      </c>
      <c r="P74" s="201"/>
      <c r="Q74" s="202"/>
      <c r="R74" s="7">
        <v>4149.33</v>
      </c>
      <c r="S74" s="202" t="s">
        <v>588</v>
      </c>
      <c r="T74" s="21" t="s">
        <v>800</v>
      </c>
      <c r="X74">
        <v>5101009187</v>
      </c>
      <c r="Y74" s="89">
        <v>4149.33</v>
      </c>
      <c r="Z74" s="143" t="b">
        <f t="shared" si="0"/>
        <v>1</v>
      </c>
    </row>
    <row r="75" spans="2:26" ht="14.25">
      <c r="B75" s="27" t="s">
        <v>425</v>
      </c>
      <c r="C75" s="27" t="s">
        <v>804</v>
      </c>
      <c r="D75" s="322">
        <v>5101009287</v>
      </c>
      <c r="E75" s="201"/>
      <c r="F75" s="151"/>
      <c r="G75" s="151"/>
      <c r="H75" s="201">
        <v>846.16</v>
      </c>
      <c r="I75" s="205">
        <v>43418</v>
      </c>
      <c r="J75" s="202" t="s">
        <v>441</v>
      </c>
      <c r="K75" s="201">
        <v>846.17</v>
      </c>
      <c r="L75" s="151">
        <v>43364</v>
      </c>
      <c r="M75" s="202" t="s">
        <v>520</v>
      </c>
      <c r="N75" s="201">
        <v>846.17</v>
      </c>
      <c r="O75" s="202" t="s">
        <v>561</v>
      </c>
      <c r="P75" s="201"/>
      <c r="Q75" s="202"/>
      <c r="R75" s="7">
        <v>846.17</v>
      </c>
      <c r="S75" s="202" t="s">
        <v>588</v>
      </c>
      <c r="T75" s="21" t="s">
        <v>800</v>
      </c>
      <c r="X75">
        <v>5101009287</v>
      </c>
      <c r="Y75" s="89">
        <v>846.17</v>
      </c>
      <c r="Z75" s="143" t="b">
        <f t="shared" si="0"/>
        <v>1</v>
      </c>
    </row>
    <row r="76" spans="2:26" ht="14.25">
      <c r="B76" s="27" t="s">
        <v>425</v>
      </c>
      <c r="C76" s="27" t="s">
        <v>804</v>
      </c>
      <c r="D76" s="322">
        <v>5101009387</v>
      </c>
      <c r="E76" s="201">
        <v>1001.86</v>
      </c>
      <c r="F76" s="151">
        <v>42139</v>
      </c>
      <c r="G76" s="151">
        <v>42139</v>
      </c>
      <c r="H76" s="201">
        <v>1001.86</v>
      </c>
      <c r="I76" s="151">
        <v>42139</v>
      </c>
      <c r="J76" s="202" t="s">
        <v>437</v>
      </c>
      <c r="K76" s="201">
        <v>284.67</v>
      </c>
      <c r="L76" s="151">
        <v>43364</v>
      </c>
      <c r="M76" s="202" t="s">
        <v>520</v>
      </c>
      <c r="N76" s="201">
        <v>284.67</v>
      </c>
      <c r="O76" s="202" t="s">
        <v>561</v>
      </c>
      <c r="P76" s="201"/>
      <c r="Q76" s="202"/>
      <c r="R76" s="7">
        <v>284.67</v>
      </c>
      <c r="S76" s="202" t="s">
        <v>588</v>
      </c>
      <c r="T76" s="21" t="s">
        <v>800</v>
      </c>
      <c r="X76">
        <v>5101009387</v>
      </c>
      <c r="Y76" s="89">
        <v>284.67</v>
      </c>
      <c r="Z76" s="143" t="b">
        <f t="shared" si="0"/>
        <v>1</v>
      </c>
    </row>
    <row r="77" spans="2:26" ht="14.25">
      <c r="B77" s="27" t="s">
        <v>425</v>
      </c>
      <c r="C77" s="27" t="s">
        <v>804</v>
      </c>
      <c r="D77" s="322">
        <v>5101013587</v>
      </c>
      <c r="E77" s="201">
        <v>4278.47</v>
      </c>
      <c r="F77" s="151">
        <v>42139</v>
      </c>
      <c r="G77" s="151">
        <v>42139</v>
      </c>
      <c r="H77" s="201">
        <v>4278.47</v>
      </c>
      <c r="I77" s="151">
        <v>42139</v>
      </c>
      <c r="J77" s="202" t="s">
        <v>431</v>
      </c>
      <c r="K77" s="201">
        <v>1209.56</v>
      </c>
      <c r="L77" s="151">
        <v>43364</v>
      </c>
      <c r="M77" s="202" t="s">
        <v>520</v>
      </c>
      <c r="N77" s="201">
        <v>1209.56</v>
      </c>
      <c r="O77" s="202" t="s">
        <v>561</v>
      </c>
      <c r="P77" s="201"/>
      <c r="Q77" s="202"/>
      <c r="R77" s="7">
        <v>1209.56</v>
      </c>
      <c r="S77" s="202" t="s">
        <v>588</v>
      </c>
      <c r="T77" s="21" t="s">
        <v>801</v>
      </c>
      <c r="X77">
        <v>5101013587</v>
      </c>
      <c r="Y77" s="89">
        <v>1209.56</v>
      </c>
      <c r="Z77" s="143" t="b">
        <f t="shared" si="0"/>
        <v>1</v>
      </c>
    </row>
    <row r="78" spans="2:26" ht="14.25">
      <c r="B78" s="27" t="s">
        <v>425</v>
      </c>
      <c r="C78" s="27" t="s">
        <v>804</v>
      </c>
      <c r="D78" s="322">
        <v>5101013687</v>
      </c>
      <c r="E78" s="201">
        <v>48993.21</v>
      </c>
      <c r="F78" s="151">
        <v>42139</v>
      </c>
      <c r="G78" s="151">
        <v>42139</v>
      </c>
      <c r="H78" s="201">
        <v>48993.21</v>
      </c>
      <c r="I78" s="151">
        <v>42139</v>
      </c>
      <c r="J78" s="202" t="s">
        <v>438</v>
      </c>
      <c r="K78" s="201">
        <v>13850.86</v>
      </c>
      <c r="L78" s="151">
        <v>43364</v>
      </c>
      <c r="M78" s="202" t="s">
        <v>520</v>
      </c>
      <c r="N78" s="201">
        <v>13850.86</v>
      </c>
      <c r="O78" s="202" t="s">
        <v>561</v>
      </c>
      <c r="P78" s="201"/>
      <c r="Q78" s="202"/>
      <c r="R78" s="7">
        <v>13850.86</v>
      </c>
      <c r="S78" s="202" t="s">
        <v>588</v>
      </c>
      <c r="T78" s="21" t="s">
        <v>801</v>
      </c>
      <c r="X78">
        <v>5101013687</v>
      </c>
      <c r="Y78" s="89">
        <v>13850.86</v>
      </c>
      <c r="Z78" s="143" t="b">
        <f t="shared" si="0"/>
        <v>1</v>
      </c>
    </row>
    <row r="79" spans="2:26" ht="14.25">
      <c r="B79" s="27" t="s">
        <v>425</v>
      </c>
      <c r="C79" s="27" t="s">
        <v>804</v>
      </c>
      <c r="D79" s="322">
        <v>5101013787</v>
      </c>
      <c r="E79" s="201"/>
      <c r="F79" s="151"/>
      <c r="G79" s="151"/>
      <c r="H79" s="201">
        <v>1338.25</v>
      </c>
      <c r="I79" s="205">
        <v>43418</v>
      </c>
      <c r="J79" s="202" t="s">
        <v>441</v>
      </c>
      <c r="K79" s="201">
        <v>1338.26</v>
      </c>
      <c r="L79" s="151">
        <v>43364</v>
      </c>
      <c r="M79" s="202" t="s">
        <v>520</v>
      </c>
      <c r="N79" s="201">
        <v>1338.26</v>
      </c>
      <c r="O79" s="202" t="s">
        <v>561</v>
      </c>
      <c r="P79" s="201"/>
      <c r="Q79" s="202"/>
      <c r="R79" s="7">
        <v>1338.26</v>
      </c>
      <c r="S79" s="202" t="s">
        <v>588</v>
      </c>
      <c r="T79" s="21" t="s">
        <v>801</v>
      </c>
      <c r="X79">
        <v>5101013787</v>
      </c>
      <c r="Y79" s="89">
        <v>1338.26</v>
      </c>
      <c r="Z79" s="143" t="b">
        <f t="shared" si="0"/>
        <v>1</v>
      </c>
    </row>
    <row r="80" spans="2:26" ht="14.25">
      <c r="B80" s="27" t="s">
        <v>425</v>
      </c>
      <c r="C80" s="27" t="s">
        <v>804</v>
      </c>
      <c r="D80" s="322">
        <v>5101013887</v>
      </c>
      <c r="E80" s="201">
        <v>1094.68</v>
      </c>
      <c r="F80" s="151">
        <v>42139</v>
      </c>
      <c r="G80" s="151">
        <v>42139</v>
      </c>
      <c r="H80" s="201">
        <v>1094.68</v>
      </c>
      <c r="I80" s="151">
        <v>42139</v>
      </c>
      <c r="J80" s="202" t="s">
        <v>434</v>
      </c>
      <c r="K80" s="201">
        <v>309.48</v>
      </c>
      <c r="L80" s="151">
        <v>43364</v>
      </c>
      <c r="M80" s="202" t="s">
        <v>520</v>
      </c>
      <c r="N80" s="201">
        <v>309.48</v>
      </c>
      <c r="O80" s="202" t="s">
        <v>561</v>
      </c>
      <c r="P80" s="201"/>
      <c r="Q80" s="202"/>
      <c r="R80" s="7">
        <v>309.48</v>
      </c>
      <c r="S80" s="202" t="s">
        <v>588</v>
      </c>
      <c r="T80" s="21" t="s">
        <v>801</v>
      </c>
      <c r="X80">
        <v>5101013887</v>
      </c>
      <c r="Y80" s="89">
        <v>309.48</v>
      </c>
      <c r="Z80" s="143" t="b">
        <f t="shared" si="0"/>
        <v>1</v>
      </c>
    </row>
    <row r="81" spans="2:26" ht="14.25">
      <c r="B81" s="27" t="s">
        <v>425</v>
      </c>
      <c r="C81" s="27" t="s">
        <v>804</v>
      </c>
      <c r="D81" s="322">
        <v>5101013987</v>
      </c>
      <c r="E81" s="201">
        <v>5738.6</v>
      </c>
      <c r="F81" s="151">
        <v>42139</v>
      </c>
      <c r="G81" s="151">
        <v>42139</v>
      </c>
      <c r="H81" s="201">
        <v>5738.6</v>
      </c>
      <c r="I81" s="151">
        <v>42139</v>
      </c>
      <c r="J81" s="202" t="s">
        <v>433</v>
      </c>
      <c r="K81" s="201">
        <v>1622.36</v>
      </c>
      <c r="L81" s="151">
        <v>43364</v>
      </c>
      <c r="M81" s="202" t="s">
        <v>520</v>
      </c>
      <c r="N81" s="201">
        <v>1622.36</v>
      </c>
      <c r="O81" s="202" t="s">
        <v>561</v>
      </c>
      <c r="P81" s="201"/>
      <c r="Q81" s="202"/>
      <c r="R81" s="7">
        <v>1622.36</v>
      </c>
      <c r="S81" s="202" t="s">
        <v>588</v>
      </c>
      <c r="T81" s="21" t="s">
        <v>801</v>
      </c>
      <c r="X81">
        <v>5101013987</v>
      </c>
      <c r="Y81" s="89">
        <v>1622.36</v>
      </c>
      <c r="Z81" s="143" t="b">
        <f t="shared" si="0"/>
        <v>1</v>
      </c>
    </row>
    <row r="82" spans="2:26" ht="14.25">
      <c r="B82" s="27" t="s">
        <v>425</v>
      </c>
      <c r="C82" s="27" t="s">
        <v>804</v>
      </c>
      <c r="D82" s="322">
        <v>5101014087</v>
      </c>
      <c r="E82" s="201">
        <v>10258.879999999999</v>
      </c>
      <c r="F82" s="151">
        <v>42139</v>
      </c>
      <c r="G82" s="151">
        <v>42139</v>
      </c>
      <c r="H82" s="201">
        <v>10258.879999999999</v>
      </c>
      <c r="I82" s="151">
        <v>42139</v>
      </c>
      <c r="J82" s="202" t="s">
        <v>432</v>
      </c>
      <c r="K82" s="201">
        <v>2900.29</v>
      </c>
      <c r="L82" s="151">
        <v>43364</v>
      </c>
      <c r="M82" s="202" t="s">
        <v>520</v>
      </c>
      <c r="N82" s="201">
        <v>2900.29</v>
      </c>
      <c r="O82" s="202" t="s">
        <v>561</v>
      </c>
      <c r="P82" s="201"/>
      <c r="Q82" s="202"/>
      <c r="R82" s="7">
        <v>2900.29</v>
      </c>
      <c r="S82" s="202" t="s">
        <v>588</v>
      </c>
      <c r="T82" s="21" t="s">
        <v>801</v>
      </c>
      <c r="X82">
        <v>5101014087</v>
      </c>
      <c r="Y82" s="89">
        <v>2900.29</v>
      </c>
      <c r="Z82" s="143" t="b">
        <f t="shared" si="0"/>
        <v>1</v>
      </c>
    </row>
    <row r="83" spans="2:26" ht="14.25">
      <c r="B83" s="27" t="s">
        <v>425</v>
      </c>
      <c r="C83" s="27" t="s">
        <v>804</v>
      </c>
      <c r="D83" s="322">
        <v>5101014187</v>
      </c>
      <c r="E83" s="201">
        <v>3539.5</v>
      </c>
      <c r="F83" s="151">
        <v>42139</v>
      </c>
      <c r="G83" s="151">
        <v>42139</v>
      </c>
      <c r="H83" s="201">
        <v>3539.5</v>
      </c>
      <c r="I83" s="151">
        <v>42139</v>
      </c>
      <c r="J83" s="202" t="s">
        <v>436</v>
      </c>
      <c r="K83" s="201">
        <v>1000.65</v>
      </c>
      <c r="L83" s="151">
        <v>43364</v>
      </c>
      <c r="M83" s="202" t="s">
        <v>520</v>
      </c>
      <c r="N83" s="201">
        <v>1000.65</v>
      </c>
      <c r="O83" s="202" t="s">
        <v>561</v>
      </c>
      <c r="P83" s="201"/>
      <c r="Q83" s="202"/>
      <c r="R83" s="7">
        <v>1000.65</v>
      </c>
      <c r="S83" s="202" t="s">
        <v>588</v>
      </c>
      <c r="T83" s="21" t="s">
        <v>801</v>
      </c>
      <c r="X83">
        <v>5101014187</v>
      </c>
      <c r="Y83" s="89">
        <v>1000.65</v>
      </c>
      <c r="Z83" s="143" t="b">
        <f t="shared" si="0"/>
        <v>1</v>
      </c>
    </row>
    <row r="84" spans="2:26" ht="14.25">
      <c r="B84" s="27" t="s">
        <v>425</v>
      </c>
      <c r="C84" s="27" t="s">
        <v>804</v>
      </c>
      <c r="D84" s="322">
        <v>5101016487</v>
      </c>
      <c r="E84" s="201"/>
      <c r="F84" s="151"/>
      <c r="G84" s="151"/>
      <c r="H84" s="201">
        <v>2844.14</v>
      </c>
      <c r="I84" s="205">
        <v>43418</v>
      </c>
      <c r="J84" s="202" t="s">
        <v>441</v>
      </c>
      <c r="K84" s="201">
        <v>2844.13</v>
      </c>
      <c r="L84" s="151">
        <v>43364</v>
      </c>
      <c r="M84" s="202" t="s">
        <v>520</v>
      </c>
      <c r="N84" s="201">
        <v>2844.13</v>
      </c>
      <c r="O84" s="202" t="s">
        <v>561</v>
      </c>
      <c r="P84" s="201"/>
      <c r="Q84" s="202"/>
      <c r="R84" s="7">
        <v>2844.13</v>
      </c>
      <c r="S84" s="202" t="s">
        <v>588</v>
      </c>
      <c r="T84" s="21" t="s">
        <v>800</v>
      </c>
      <c r="X84">
        <v>5101016487</v>
      </c>
      <c r="Y84" s="89">
        <v>2844.13</v>
      </c>
      <c r="Z84" s="143" t="b">
        <f t="shared" si="0"/>
        <v>1</v>
      </c>
    </row>
    <row r="85" spans="2:26" ht="14.25">
      <c r="B85" s="27" t="s">
        <v>425</v>
      </c>
      <c r="C85" s="27" t="s">
        <v>804</v>
      </c>
      <c r="D85" s="322">
        <v>5101016587</v>
      </c>
      <c r="E85" s="201">
        <v>28911.74</v>
      </c>
      <c r="F85" s="151">
        <v>42139</v>
      </c>
      <c r="G85" s="151">
        <v>42139</v>
      </c>
      <c r="H85" s="201">
        <v>28911.74</v>
      </c>
      <c r="I85" s="151">
        <v>42139</v>
      </c>
      <c r="J85" s="202" t="s">
        <v>440</v>
      </c>
      <c r="K85" s="201">
        <v>8198.69</v>
      </c>
      <c r="L85" s="151">
        <v>43364</v>
      </c>
      <c r="M85" s="202" t="s">
        <v>520</v>
      </c>
      <c r="N85" s="201">
        <v>8198.69</v>
      </c>
      <c r="O85" s="202" t="s">
        <v>561</v>
      </c>
      <c r="P85" s="201"/>
      <c r="Q85" s="202"/>
      <c r="R85" s="7">
        <v>8198.69</v>
      </c>
      <c r="S85" s="202" t="s">
        <v>588</v>
      </c>
      <c r="T85" s="21" t="s">
        <v>800</v>
      </c>
      <c r="X85">
        <v>5101016587</v>
      </c>
      <c r="Y85" s="89">
        <v>8198.69</v>
      </c>
      <c r="Z85" s="143" t="b">
        <f t="shared" si="0"/>
        <v>1</v>
      </c>
    </row>
    <row r="86" spans="2:26" ht="14.25">
      <c r="B86" s="27" t="s">
        <v>425</v>
      </c>
      <c r="C86" s="27" t="s">
        <v>804</v>
      </c>
      <c r="D86" s="322">
        <v>5101016687</v>
      </c>
      <c r="E86" s="201">
        <v>12775.85</v>
      </c>
      <c r="F86" s="151">
        <v>42139</v>
      </c>
      <c r="G86" s="151">
        <v>42139</v>
      </c>
      <c r="H86" s="201">
        <v>12775.85</v>
      </c>
      <c r="I86" s="151">
        <v>42139</v>
      </c>
      <c r="J86" s="202" t="s">
        <v>439</v>
      </c>
      <c r="K86" s="201">
        <v>3619.5</v>
      </c>
      <c r="L86" s="151">
        <v>43364</v>
      </c>
      <c r="M86" s="202" t="s">
        <v>520</v>
      </c>
      <c r="N86" s="201">
        <v>3619.5</v>
      </c>
      <c r="O86" s="202" t="s">
        <v>561</v>
      </c>
      <c r="P86" s="201"/>
      <c r="Q86" s="202"/>
      <c r="R86" s="7">
        <v>3619.5</v>
      </c>
      <c r="S86" s="202" t="s">
        <v>588</v>
      </c>
      <c r="T86" s="21" t="s">
        <v>800</v>
      </c>
      <c r="X86">
        <v>5101016687</v>
      </c>
      <c r="Y86" s="89">
        <v>3619.5</v>
      </c>
      <c r="Z86" s="143" t="b">
        <f t="shared" si="0"/>
        <v>1</v>
      </c>
    </row>
    <row r="87" spans="2:26" ht="14.25">
      <c r="B87" s="27" t="s">
        <v>425</v>
      </c>
      <c r="C87" s="27" t="s">
        <v>804</v>
      </c>
      <c r="D87" s="322">
        <v>5101743887</v>
      </c>
      <c r="E87" s="201">
        <v>227443.72</v>
      </c>
      <c r="F87" s="151">
        <v>42139</v>
      </c>
      <c r="G87" s="151">
        <v>42139</v>
      </c>
      <c r="H87" s="201">
        <v>227443.72</v>
      </c>
      <c r="I87" s="151">
        <v>42139</v>
      </c>
      <c r="J87" s="202" t="s">
        <v>432</v>
      </c>
      <c r="K87" s="201">
        <v>47361.03</v>
      </c>
      <c r="L87" s="151">
        <v>43364</v>
      </c>
      <c r="M87" s="202" t="s">
        <v>520</v>
      </c>
      <c r="N87" s="201">
        <v>47361.03</v>
      </c>
      <c r="O87" s="202" t="s">
        <v>561</v>
      </c>
      <c r="P87" s="201"/>
      <c r="Q87" s="202"/>
      <c r="R87" s="7">
        <v>47361.03</v>
      </c>
      <c r="S87" s="202" t="s">
        <v>588</v>
      </c>
      <c r="T87" s="21" t="s">
        <v>802</v>
      </c>
      <c r="X87">
        <v>5101743887</v>
      </c>
      <c r="Y87" s="89">
        <v>47361.03</v>
      </c>
      <c r="Z87" s="143" t="b">
        <f t="shared" si="0"/>
        <v>1</v>
      </c>
    </row>
    <row r="88" spans="2:26" ht="14.25">
      <c r="B88" s="27" t="s">
        <v>425</v>
      </c>
      <c r="C88" s="27" t="s">
        <v>804</v>
      </c>
      <c r="D88" s="322">
        <v>5101743968</v>
      </c>
      <c r="E88" s="201">
        <v>10474.870000000001</v>
      </c>
      <c r="F88" s="151">
        <v>42139</v>
      </c>
      <c r="G88" s="151">
        <v>42139</v>
      </c>
      <c r="H88" s="201">
        <v>10474.870000000001</v>
      </c>
      <c r="I88" s="151">
        <v>42139</v>
      </c>
      <c r="J88" s="202" t="s">
        <v>434</v>
      </c>
      <c r="K88" s="201">
        <v>2186.29</v>
      </c>
      <c r="L88" s="151">
        <v>43364</v>
      </c>
      <c r="M88" s="202" t="s">
        <v>520</v>
      </c>
      <c r="N88" s="201">
        <v>2186.29</v>
      </c>
      <c r="O88" s="202" t="s">
        <v>561</v>
      </c>
      <c r="P88" s="201"/>
      <c r="Q88" s="202"/>
      <c r="R88" s="7">
        <v>2186.29</v>
      </c>
      <c r="S88" s="202" t="s">
        <v>588</v>
      </c>
      <c r="T88" s="21" t="s">
        <v>803</v>
      </c>
      <c r="X88">
        <v>5101743968</v>
      </c>
      <c r="Y88" s="89">
        <v>2186.29</v>
      </c>
      <c r="Z88" s="143" t="b">
        <f t="shared" si="0"/>
        <v>1</v>
      </c>
    </row>
    <row r="89" spans="2:26" ht="14.25">
      <c r="B89" s="27" t="s">
        <v>425</v>
      </c>
      <c r="C89" s="27" t="s">
        <v>805</v>
      </c>
      <c r="D89" s="5">
        <v>1101000387</v>
      </c>
      <c r="E89" s="201"/>
      <c r="F89" s="151"/>
      <c r="G89" s="151"/>
      <c r="H89" s="201"/>
      <c r="I89" s="151"/>
      <c r="J89" s="202"/>
      <c r="K89" s="201"/>
      <c r="L89" s="151"/>
      <c r="M89" s="202"/>
      <c r="N89" s="201"/>
      <c r="O89" s="202"/>
      <c r="P89" s="201"/>
      <c r="Q89" s="202"/>
      <c r="R89" s="7">
        <f>R33*5%</f>
        <v>0</v>
      </c>
      <c r="S89" s="202"/>
      <c r="T89" s="349" t="s">
        <v>796</v>
      </c>
      <c r="X89"/>
      <c r="Y89" s="89"/>
    </row>
    <row r="90" spans="2:26" ht="14.25">
      <c r="B90" s="27" t="s">
        <v>425</v>
      </c>
      <c r="C90" s="27" t="s">
        <v>805</v>
      </c>
      <c r="D90" s="322">
        <v>1101001288</v>
      </c>
      <c r="E90" s="201"/>
      <c r="F90" s="151"/>
      <c r="G90" s="151"/>
      <c r="H90" s="201"/>
      <c r="I90" s="151"/>
      <c r="J90" s="202"/>
      <c r="K90" s="201"/>
      <c r="L90" s="151"/>
      <c r="M90" s="202"/>
      <c r="N90" s="201"/>
      <c r="O90" s="202"/>
      <c r="P90" s="201"/>
      <c r="Q90" s="202"/>
      <c r="R90" s="7">
        <f t="shared" ref="R90:R144" si="1">R34*5%</f>
        <v>800.67150000000004</v>
      </c>
      <c r="S90" s="202"/>
      <c r="T90" s="21" t="s">
        <v>797</v>
      </c>
      <c r="X90"/>
      <c r="Y90" s="89"/>
    </row>
    <row r="91" spans="2:26" ht="14.25">
      <c r="B91" s="207" t="s">
        <v>425</v>
      </c>
      <c r="C91" s="27" t="s">
        <v>805</v>
      </c>
      <c r="D91" s="223">
        <v>1101005491</v>
      </c>
      <c r="E91" s="201"/>
      <c r="F91" s="151"/>
      <c r="G91" s="151"/>
      <c r="H91" s="201"/>
      <c r="I91" s="151"/>
      <c r="J91" s="202"/>
      <c r="K91" s="201"/>
      <c r="L91" s="151"/>
      <c r="M91" s="202"/>
      <c r="N91" s="201"/>
      <c r="O91" s="202"/>
      <c r="P91" s="201"/>
      <c r="Q91" s="202"/>
      <c r="R91" s="7">
        <f t="shared" si="1"/>
        <v>0</v>
      </c>
      <c r="S91" s="202"/>
      <c r="T91" s="21" t="s">
        <v>798</v>
      </c>
      <c r="X91"/>
      <c r="Y91" s="354"/>
    </row>
    <row r="92" spans="2:26" ht="14.25">
      <c r="B92" s="27" t="s">
        <v>425</v>
      </c>
      <c r="C92" s="27" t="s">
        <v>805</v>
      </c>
      <c r="D92" s="322">
        <v>2101317567</v>
      </c>
      <c r="E92" s="201"/>
      <c r="F92" s="151"/>
      <c r="G92" s="151"/>
      <c r="H92" s="201"/>
      <c r="I92" s="151"/>
      <c r="J92" s="202"/>
      <c r="K92" s="201"/>
      <c r="L92" s="151"/>
      <c r="M92" s="202"/>
      <c r="N92" s="201"/>
      <c r="O92" s="202"/>
      <c r="P92" s="201"/>
      <c r="Q92" s="202"/>
      <c r="R92" s="7">
        <f t="shared" si="1"/>
        <v>1081.7425000000001</v>
      </c>
      <c r="S92" s="202"/>
      <c r="T92" s="21" t="s">
        <v>799</v>
      </c>
      <c r="X92"/>
      <c r="Y92" s="89"/>
    </row>
    <row r="93" spans="2:26" ht="14.25">
      <c r="B93" s="27" t="s">
        <v>425</v>
      </c>
      <c r="C93" s="27" t="s">
        <v>805</v>
      </c>
      <c r="D93" s="322">
        <v>5101002787</v>
      </c>
      <c r="E93" s="201"/>
      <c r="F93" s="151"/>
      <c r="G93" s="151"/>
      <c r="H93" s="201"/>
      <c r="I93" s="151"/>
      <c r="J93" s="202"/>
      <c r="K93" s="201"/>
      <c r="L93" s="151"/>
      <c r="M93" s="202"/>
      <c r="N93" s="201"/>
      <c r="O93" s="202"/>
      <c r="P93" s="201"/>
      <c r="Q93" s="202"/>
      <c r="R93" s="7">
        <f t="shared" si="1"/>
        <v>60.376000000000005</v>
      </c>
      <c r="S93" s="202"/>
      <c r="T93" s="21" t="s">
        <v>798</v>
      </c>
      <c r="X93"/>
      <c r="Y93" s="89"/>
    </row>
    <row r="94" spans="2:26" ht="14.25">
      <c r="B94" s="27" t="s">
        <v>425</v>
      </c>
      <c r="C94" s="27" t="s">
        <v>805</v>
      </c>
      <c r="D94" s="322">
        <v>5101002887</v>
      </c>
      <c r="E94" s="201"/>
      <c r="F94" s="151"/>
      <c r="G94" s="151"/>
      <c r="H94" s="201"/>
      <c r="I94" s="151"/>
      <c r="J94" s="202"/>
      <c r="K94" s="201"/>
      <c r="L94" s="151"/>
      <c r="M94" s="202"/>
      <c r="N94" s="201"/>
      <c r="O94" s="202"/>
      <c r="P94" s="201"/>
      <c r="Q94" s="202"/>
      <c r="R94" s="7">
        <f t="shared" si="1"/>
        <v>161.01400000000001</v>
      </c>
      <c r="S94" s="202"/>
      <c r="T94" s="21" t="s">
        <v>798</v>
      </c>
      <c r="X94"/>
      <c r="Y94" s="89"/>
    </row>
    <row r="95" spans="2:26" ht="14.25">
      <c r="B95" s="27" t="s">
        <v>425</v>
      </c>
      <c r="C95" s="27" t="s">
        <v>805</v>
      </c>
      <c r="D95" s="322">
        <v>5101002987</v>
      </c>
      <c r="E95" s="201"/>
      <c r="F95" s="151"/>
      <c r="G95" s="151"/>
      <c r="H95" s="201"/>
      <c r="I95" s="151"/>
      <c r="J95" s="202"/>
      <c r="K95" s="201"/>
      <c r="L95" s="151"/>
      <c r="M95" s="202"/>
      <c r="N95" s="201"/>
      <c r="O95" s="202"/>
      <c r="P95" s="201"/>
      <c r="Q95" s="202"/>
      <c r="R95" s="7">
        <f t="shared" si="1"/>
        <v>637.46350000000007</v>
      </c>
      <c r="S95" s="202"/>
      <c r="T95" s="21" t="s">
        <v>798</v>
      </c>
      <c r="X95"/>
      <c r="Y95" s="89"/>
    </row>
    <row r="96" spans="2:26" ht="14.25">
      <c r="B96" s="27" t="s">
        <v>425</v>
      </c>
      <c r="C96" s="27" t="s">
        <v>805</v>
      </c>
      <c r="D96" s="322">
        <v>5101003187</v>
      </c>
      <c r="E96" s="201"/>
      <c r="F96" s="151"/>
      <c r="G96" s="151"/>
      <c r="H96" s="201"/>
      <c r="I96" s="151"/>
      <c r="J96" s="202"/>
      <c r="K96" s="201"/>
      <c r="L96" s="151"/>
      <c r="M96" s="202"/>
      <c r="N96" s="201"/>
      <c r="O96" s="202"/>
      <c r="P96" s="201"/>
      <c r="Q96" s="202"/>
      <c r="R96" s="7">
        <f t="shared" si="1"/>
        <v>11.743000000000002</v>
      </c>
      <c r="S96" s="202"/>
      <c r="T96" s="21" t="s">
        <v>798</v>
      </c>
      <c r="X96"/>
      <c r="Y96" s="89"/>
    </row>
    <row r="97" spans="2:25" ht="14.25">
      <c r="B97" s="27" t="s">
        <v>425</v>
      </c>
      <c r="C97" s="27" t="s">
        <v>805</v>
      </c>
      <c r="D97" s="322">
        <v>5101003287</v>
      </c>
      <c r="E97" s="201"/>
      <c r="F97" s="151"/>
      <c r="G97" s="151"/>
      <c r="H97" s="201"/>
      <c r="I97" s="151"/>
      <c r="J97" s="202"/>
      <c r="K97" s="201"/>
      <c r="L97" s="151"/>
      <c r="M97" s="202"/>
      <c r="N97" s="201"/>
      <c r="O97" s="202"/>
      <c r="P97" s="201"/>
      <c r="Q97" s="202"/>
      <c r="R97" s="7">
        <f t="shared" si="1"/>
        <v>29.927999999999997</v>
      </c>
      <c r="S97" s="202"/>
      <c r="T97" s="21" t="s">
        <v>798</v>
      </c>
      <c r="X97"/>
      <c r="Y97" s="89"/>
    </row>
    <row r="98" spans="2:25" ht="14.25">
      <c r="B98" s="27" t="s">
        <v>425</v>
      </c>
      <c r="C98" s="27" t="s">
        <v>805</v>
      </c>
      <c r="D98" s="322">
        <v>5101003387</v>
      </c>
      <c r="E98" s="201"/>
      <c r="F98" s="151"/>
      <c r="G98" s="151"/>
      <c r="H98" s="201"/>
      <c r="I98" s="151"/>
      <c r="J98" s="202"/>
      <c r="K98" s="201"/>
      <c r="L98" s="151"/>
      <c r="M98" s="202"/>
      <c r="N98" s="201"/>
      <c r="O98" s="202"/>
      <c r="P98" s="201"/>
      <c r="Q98" s="202"/>
      <c r="R98" s="7">
        <f t="shared" si="1"/>
        <v>25.518500000000003</v>
      </c>
      <c r="S98" s="202"/>
      <c r="T98" s="21" t="s">
        <v>798</v>
      </c>
      <c r="X98"/>
      <c r="Y98" s="89"/>
    </row>
    <row r="99" spans="2:25" ht="14.25">
      <c r="B99" s="27" t="s">
        <v>425</v>
      </c>
      <c r="C99" s="27" t="s">
        <v>805</v>
      </c>
      <c r="D99" s="322">
        <v>5101003487</v>
      </c>
      <c r="E99" s="201"/>
      <c r="F99" s="151"/>
      <c r="G99" s="151"/>
      <c r="H99" s="201"/>
      <c r="I99" s="151"/>
      <c r="J99" s="202"/>
      <c r="K99" s="201"/>
      <c r="L99" s="151"/>
      <c r="M99" s="202"/>
      <c r="N99" s="201"/>
      <c r="O99" s="202"/>
      <c r="P99" s="201"/>
      <c r="Q99" s="202"/>
      <c r="R99" s="7">
        <f t="shared" si="1"/>
        <v>51.402000000000001</v>
      </c>
      <c r="S99" s="202"/>
      <c r="T99" s="21" t="s">
        <v>798</v>
      </c>
      <c r="X99"/>
      <c r="Y99" s="89"/>
    </row>
    <row r="100" spans="2:25" ht="14.25">
      <c r="B100" s="27" t="s">
        <v>425</v>
      </c>
      <c r="C100" s="27" t="s">
        <v>805</v>
      </c>
      <c r="D100" s="322">
        <v>5101003587</v>
      </c>
      <c r="E100" s="201"/>
      <c r="F100" s="151"/>
      <c r="G100" s="151"/>
      <c r="H100" s="201"/>
      <c r="I100" s="151"/>
      <c r="J100" s="202"/>
      <c r="K100" s="201"/>
      <c r="L100" s="151"/>
      <c r="M100" s="202"/>
      <c r="N100" s="201"/>
      <c r="O100" s="202"/>
      <c r="P100" s="201"/>
      <c r="Q100" s="202"/>
      <c r="R100" s="7">
        <f t="shared" si="1"/>
        <v>62.722500000000004</v>
      </c>
      <c r="S100" s="202"/>
      <c r="T100" s="21" t="s">
        <v>798</v>
      </c>
      <c r="X100"/>
      <c r="Y100" s="89"/>
    </row>
    <row r="101" spans="2:25" ht="14.25">
      <c r="B101" s="27" t="s">
        <v>425</v>
      </c>
      <c r="C101" s="27" t="s">
        <v>805</v>
      </c>
      <c r="D101" s="322">
        <v>5101003687</v>
      </c>
      <c r="E101" s="201"/>
      <c r="F101" s="151"/>
      <c r="G101" s="151"/>
      <c r="H101" s="201"/>
      <c r="I101" s="151"/>
      <c r="J101" s="202"/>
      <c r="K101" s="201"/>
      <c r="L101" s="151"/>
      <c r="M101" s="202"/>
      <c r="N101" s="201"/>
      <c r="O101" s="202"/>
      <c r="P101" s="201"/>
      <c r="Q101" s="202"/>
      <c r="R101" s="7">
        <f t="shared" si="1"/>
        <v>18.192</v>
      </c>
      <c r="S101" s="202"/>
      <c r="T101" s="21" t="s">
        <v>798</v>
      </c>
      <c r="X101"/>
      <c r="Y101" s="89"/>
    </row>
    <row r="102" spans="2:25" ht="14.25">
      <c r="B102" s="27" t="s">
        <v>425</v>
      </c>
      <c r="C102" s="27" t="s">
        <v>805</v>
      </c>
      <c r="D102" s="322">
        <v>5101003787</v>
      </c>
      <c r="E102" s="201"/>
      <c r="F102" s="151"/>
      <c r="G102" s="151"/>
      <c r="H102" s="201"/>
      <c r="I102" s="151"/>
      <c r="J102" s="202"/>
      <c r="K102" s="201"/>
      <c r="L102" s="151"/>
      <c r="M102" s="202"/>
      <c r="N102" s="201"/>
      <c r="O102" s="202"/>
      <c r="P102" s="201"/>
      <c r="Q102" s="202"/>
      <c r="R102" s="7">
        <f t="shared" si="1"/>
        <v>88.055499999999995</v>
      </c>
      <c r="S102" s="202"/>
      <c r="T102" s="21" t="s">
        <v>798</v>
      </c>
      <c r="X102"/>
      <c r="Y102" s="89"/>
    </row>
    <row r="103" spans="2:25" ht="14.25">
      <c r="B103" s="27" t="s">
        <v>425</v>
      </c>
      <c r="C103" s="27" t="s">
        <v>805</v>
      </c>
      <c r="D103" s="322">
        <v>5101003887</v>
      </c>
      <c r="E103" s="201"/>
      <c r="F103" s="151"/>
      <c r="G103" s="151"/>
      <c r="H103" s="201"/>
      <c r="I103" s="151"/>
      <c r="J103" s="202"/>
      <c r="K103" s="201"/>
      <c r="L103" s="151"/>
      <c r="M103" s="202"/>
      <c r="N103" s="201"/>
      <c r="O103" s="202"/>
      <c r="P103" s="201"/>
      <c r="Q103" s="202"/>
      <c r="R103" s="7">
        <f t="shared" si="1"/>
        <v>161.197</v>
      </c>
      <c r="S103" s="202"/>
      <c r="T103" s="21" t="s">
        <v>798</v>
      </c>
      <c r="X103"/>
      <c r="Y103" s="89"/>
    </row>
    <row r="104" spans="2:25" ht="14.25">
      <c r="B104" s="27" t="s">
        <v>425</v>
      </c>
      <c r="C104" s="27" t="s">
        <v>805</v>
      </c>
      <c r="D104" s="322">
        <v>5101003987</v>
      </c>
      <c r="E104" s="201"/>
      <c r="F104" s="151"/>
      <c r="G104" s="151"/>
      <c r="H104" s="201"/>
      <c r="I104" s="151"/>
      <c r="J104" s="202"/>
      <c r="K104" s="201"/>
      <c r="L104" s="151"/>
      <c r="M104" s="202"/>
      <c r="N104" s="201"/>
      <c r="O104" s="202"/>
      <c r="P104" s="201"/>
      <c r="Q104" s="202"/>
      <c r="R104" s="7">
        <f t="shared" si="1"/>
        <v>1650.3540000000003</v>
      </c>
      <c r="S104" s="202"/>
      <c r="T104" s="21" t="s">
        <v>798</v>
      </c>
      <c r="X104"/>
      <c r="Y104" s="89"/>
    </row>
    <row r="105" spans="2:25" ht="14.25">
      <c r="B105" s="27" t="s">
        <v>425</v>
      </c>
      <c r="C105" s="27" t="s">
        <v>805</v>
      </c>
      <c r="D105" s="322">
        <v>5101004087</v>
      </c>
      <c r="E105" s="201"/>
      <c r="F105" s="151"/>
      <c r="G105" s="151"/>
      <c r="H105" s="201"/>
      <c r="I105" s="151"/>
      <c r="J105" s="202"/>
      <c r="K105" s="201"/>
      <c r="L105" s="151"/>
      <c r="M105" s="202"/>
      <c r="N105" s="201"/>
      <c r="O105" s="202"/>
      <c r="P105" s="201"/>
      <c r="Q105" s="202"/>
      <c r="R105" s="7">
        <f t="shared" si="1"/>
        <v>72.838000000000008</v>
      </c>
      <c r="S105" s="202"/>
      <c r="T105" s="21" t="s">
        <v>798</v>
      </c>
      <c r="X105"/>
      <c r="Y105" s="89"/>
    </row>
    <row r="106" spans="2:25" ht="14.25">
      <c r="B106" s="27" t="s">
        <v>425</v>
      </c>
      <c r="C106" s="27" t="s">
        <v>805</v>
      </c>
      <c r="D106" s="322">
        <v>5101004187</v>
      </c>
      <c r="E106" s="201"/>
      <c r="F106" s="151"/>
      <c r="G106" s="151"/>
      <c r="H106" s="201"/>
      <c r="I106" s="151"/>
      <c r="J106" s="202"/>
      <c r="K106" s="201"/>
      <c r="L106" s="151"/>
      <c r="M106" s="202"/>
      <c r="N106" s="201"/>
      <c r="O106" s="202"/>
      <c r="P106" s="201"/>
      <c r="Q106" s="202"/>
      <c r="R106" s="7">
        <f t="shared" si="1"/>
        <v>396.94550000000004</v>
      </c>
      <c r="S106" s="202"/>
      <c r="T106" s="21" t="s">
        <v>798</v>
      </c>
      <c r="X106"/>
      <c r="Y106" s="89"/>
    </row>
    <row r="107" spans="2:25" ht="14.25">
      <c r="B107" s="27" t="s">
        <v>425</v>
      </c>
      <c r="C107" s="27" t="s">
        <v>805</v>
      </c>
      <c r="D107" s="322">
        <v>5101004287</v>
      </c>
      <c r="E107" s="201"/>
      <c r="F107" s="151"/>
      <c r="G107" s="151"/>
      <c r="H107" s="201"/>
      <c r="I107" s="151"/>
      <c r="J107" s="202"/>
      <c r="K107" s="201"/>
      <c r="L107" s="151"/>
      <c r="M107" s="202"/>
      <c r="N107" s="201"/>
      <c r="O107" s="202"/>
      <c r="P107" s="201"/>
      <c r="Q107" s="202"/>
      <c r="R107" s="7">
        <f t="shared" si="1"/>
        <v>100.40700000000001</v>
      </c>
      <c r="S107" s="202"/>
      <c r="T107" s="21" t="s">
        <v>798</v>
      </c>
      <c r="X107"/>
      <c r="Y107" s="89"/>
    </row>
    <row r="108" spans="2:25" ht="14.25">
      <c r="B108" s="27" t="s">
        <v>425</v>
      </c>
      <c r="C108" s="27" t="s">
        <v>805</v>
      </c>
      <c r="D108" s="322">
        <v>5101004387</v>
      </c>
      <c r="E108" s="201"/>
      <c r="F108" s="151"/>
      <c r="G108" s="151"/>
      <c r="H108" s="201"/>
      <c r="I108" s="151"/>
      <c r="J108" s="202"/>
      <c r="K108" s="201"/>
      <c r="L108" s="151"/>
      <c r="M108" s="202"/>
      <c r="N108" s="201"/>
      <c r="O108" s="202"/>
      <c r="P108" s="201"/>
      <c r="Q108" s="202"/>
      <c r="R108" s="7">
        <f t="shared" si="1"/>
        <v>127.28750000000001</v>
      </c>
      <c r="S108" s="202"/>
      <c r="T108" s="21" t="s">
        <v>798</v>
      </c>
      <c r="X108"/>
      <c r="Y108" s="89"/>
    </row>
    <row r="109" spans="2:25" ht="14.25">
      <c r="B109" s="27" t="s">
        <v>425</v>
      </c>
      <c r="C109" s="27" t="s">
        <v>805</v>
      </c>
      <c r="D109" s="322">
        <v>5101004487</v>
      </c>
      <c r="E109" s="201"/>
      <c r="F109" s="151"/>
      <c r="G109" s="151"/>
      <c r="H109" s="201"/>
      <c r="I109" s="151"/>
      <c r="J109" s="202"/>
      <c r="K109" s="201"/>
      <c r="L109" s="151"/>
      <c r="M109" s="202"/>
      <c r="N109" s="201"/>
      <c r="O109" s="202"/>
      <c r="P109" s="201"/>
      <c r="Q109" s="202"/>
      <c r="R109" s="7">
        <f t="shared" si="1"/>
        <v>122.279</v>
      </c>
      <c r="S109" s="202"/>
      <c r="T109" s="21" t="s">
        <v>798</v>
      </c>
      <c r="X109"/>
      <c r="Y109" s="89"/>
    </row>
    <row r="110" spans="2:25" ht="14.25">
      <c r="B110" s="27" t="s">
        <v>425</v>
      </c>
      <c r="C110" s="27" t="s">
        <v>805</v>
      </c>
      <c r="D110" s="322">
        <v>5101004587</v>
      </c>
      <c r="E110" s="201"/>
      <c r="F110" s="151"/>
      <c r="G110" s="151"/>
      <c r="H110" s="201"/>
      <c r="I110" s="151"/>
      <c r="J110" s="202"/>
      <c r="K110" s="201"/>
      <c r="L110" s="151"/>
      <c r="M110" s="202"/>
      <c r="N110" s="201"/>
      <c r="O110" s="202"/>
      <c r="P110" s="201"/>
      <c r="Q110" s="202"/>
      <c r="R110" s="7">
        <f t="shared" si="1"/>
        <v>170.46300000000002</v>
      </c>
      <c r="S110" s="202"/>
      <c r="T110" s="21" t="s">
        <v>798</v>
      </c>
      <c r="X110"/>
      <c r="Y110" s="89"/>
    </row>
    <row r="111" spans="2:25" ht="14.25">
      <c r="B111" s="27" t="s">
        <v>425</v>
      </c>
      <c r="C111" s="27" t="s">
        <v>805</v>
      </c>
      <c r="D111" s="322">
        <v>5101004687</v>
      </c>
      <c r="E111" s="201"/>
      <c r="F111" s="151"/>
      <c r="G111" s="151"/>
      <c r="H111" s="201"/>
      <c r="I111" s="151"/>
      <c r="J111" s="202"/>
      <c r="K111" s="201"/>
      <c r="L111" s="151"/>
      <c r="M111" s="202"/>
      <c r="N111" s="201"/>
      <c r="O111" s="202"/>
      <c r="P111" s="201"/>
      <c r="Q111" s="202"/>
      <c r="R111" s="7">
        <f t="shared" si="1"/>
        <v>516.32000000000005</v>
      </c>
      <c r="S111" s="202"/>
      <c r="T111" s="21" t="s">
        <v>798</v>
      </c>
      <c r="X111"/>
      <c r="Y111" s="89"/>
    </row>
    <row r="112" spans="2:25" ht="14.25">
      <c r="B112" s="27" t="s">
        <v>425</v>
      </c>
      <c r="C112" s="27" t="s">
        <v>805</v>
      </c>
      <c r="D112" s="175">
        <v>5101004787</v>
      </c>
      <c r="E112" s="201"/>
      <c r="F112" s="151"/>
      <c r="G112" s="151"/>
      <c r="H112" s="201"/>
      <c r="I112" s="151"/>
      <c r="J112" s="202"/>
      <c r="K112" s="201"/>
      <c r="L112" s="151"/>
      <c r="M112" s="202"/>
      <c r="N112" s="201"/>
      <c r="O112" s="202"/>
      <c r="P112" s="201"/>
      <c r="Q112" s="202"/>
      <c r="R112" s="7">
        <f t="shared" si="1"/>
        <v>86.438000000000002</v>
      </c>
      <c r="S112" s="202"/>
      <c r="T112" s="21" t="s">
        <v>798</v>
      </c>
      <c r="X112"/>
      <c r="Y112" s="89"/>
    </row>
    <row r="113" spans="2:25" ht="14.25">
      <c r="B113" s="27" t="s">
        <v>425</v>
      </c>
      <c r="C113" s="27" t="s">
        <v>805</v>
      </c>
      <c r="D113" s="322">
        <v>5101004887</v>
      </c>
      <c r="E113" s="201"/>
      <c r="F113" s="151"/>
      <c r="G113" s="151"/>
      <c r="H113" s="201"/>
      <c r="I113" s="151"/>
      <c r="J113" s="202"/>
      <c r="K113" s="201"/>
      <c r="L113" s="151"/>
      <c r="M113" s="202"/>
      <c r="N113" s="201"/>
      <c r="O113" s="202"/>
      <c r="P113" s="201"/>
      <c r="Q113" s="202"/>
      <c r="R113" s="7">
        <f t="shared" si="1"/>
        <v>1488.5465000000002</v>
      </c>
      <c r="S113" s="202"/>
      <c r="T113" s="21" t="s">
        <v>798</v>
      </c>
      <c r="X113"/>
      <c r="Y113" s="89"/>
    </row>
    <row r="114" spans="2:25" ht="14.25">
      <c r="B114" s="27" t="s">
        <v>425</v>
      </c>
      <c r="C114" s="27" t="s">
        <v>805</v>
      </c>
      <c r="D114" s="322">
        <v>5101004987</v>
      </c>
      <c r="E114" s="201"/>
      <c r="F114" s="151"/>
      <c r="G114" s="151"/>
      <c r="H114" s="201"/>
      <c r="I114" s="151"/>
      <c r="J114" s="202"/>
      <c r="K114" s="201"/>
      <c r="L114" s="151"/>
      <c r="M114" s="202"/>
      <c r="N114" s="201"/>
      <c r="O114" s="202"/>
      <c r="P114" s="201"/>
      <c r="Q114" s="202"/>
      <c r="R114" s="7">
        <f t="shared" si="1"/>
        <v>176.34550000000002</v>
      </c>
      <c r="S114" s="202"/>
      <c r="T114" s="21" t="s">
        <v>798</v>
      </c>
      <c r="X114"/>
      <c r="Y114" s="89"/>
    </row>
    <row r="115" spans="2:25" ht="14.25">
      <c r="B115" s="27" t="s">
        <v>425</v>
      </c>
      <c r="C115" s="27" t="s">
        <v>805</v>
      </c>
      <c r="D115" s="322">
        <v>5101005087</v>
      </c>
      <c r="E115" s="201"/>
      <c r="F115" s="151"/>
      <c r="G115" s="151"/>
      <c r="H115" s="201"/>
      <c r="I115" s="151"/>
      <c r="J115" s="202"/>
      <c r="K115" s="201"/>
      <c r="L115" s="151"/>
      <c r="M115" s="202"/>
      <c r="N115" s="201"/>
      <c r="O115" s="202"/>
      <c r="P115" s="201"/>
      <c r="Q115" s="202"/>
      <c r="R115" s="7">
        <f t="shared" si="1"/>
        <v>93.108000000000004</v>
      </c>
      <c r="S115" s="202"/>
      <c r="T115" s="21" t="s">
        <v>798</v>
      </c>
      <c r="X115"/>
      <c r="Y115" s="89"/>
    </row>
    <row r="116" spans="2:25" ht="14.25">
      <c r="B116" s="27" t="s">
        <v>425</v>
      </c>
      <c r="C116" s="27" t="s">
        <v>805</v>
      </c>
      <c r="D116" s="322">
        <v>5101005187</v>
      </c>
      <c r="E116" s="201"/>
      <c r="F116" s="151"/>
      <c r="G116" s="151"/>
      <c r="H116" s="201"/>
      <c r="I116" s="151"/>
      <c r="J116" s="202"/>
      <c r="K116" s="201"/>
      <c r="L116" s="151"/>
      <c r="M116" s="202"/>
      <c r="N116" s="201"/>
      <c r="O116" s="202"/>
      <c r="P116" s="201"/>
      <c r="Q116" s="202"/>
      <c r="R116" s="7">
        <f t="shared" si="1"/>
        <v>34.625999999999998</v>
      </c>
      <c r="S116" s="202"/>
      <c r="T116" s="21" t="s">
        <v>798</v>
      </c>
      <c r="X116"/>
      <c r="Y116" s="89"/>
    </row>
    <row r="117" spans="2:25" ht="14.25">
      <c r="B117" s="27" t="s">
        <v>425</v>
      </c>
      <c r="C117" s="27" t="s">
        <v>805</v>
      </c>
      <c r="D117" s="322">
        <v>5101005287</v>
      </c>
      <c r="E117" s="201"/>
      <c r="F117" s="151"/>
      <c r="G117" s="151"/>
      <c r="H117" s="201"/>
      <c r="I117" s="151"/>
      <c r="J117" s="202"/>
      <c r="K117" s="201"/>
      <c r="L117" s="151"/>
      <c r="M117" s="202"/>
      <c r="N117" s="201"/>
      <c r="O117" s="202"/>
      <c r="P117" s="201"/>
      <c r="Q117" s="202"/>
      <c r="R117" s="7">
        <f t="shared" si="1"/>
        <v>72.669500000000014</v>
      </c>
      <c r="S117" s="202"/>
      <c r="T117" s="21" t="s">
        <v>798</v>
      </c>
      <c r="X117"/>
      <c r="Y117" s="89"/>
    </row>
    <row r="118" spans="2:25" ht="14.25">
      <c r="B118" s="27" t="s">
        <v>425</v>
      </c>
      <c r="C118" s="27" t="s">
        <v>805</v>
      </c>
      <c r="D118" s="322">
        <v>5101005387</v>
      </c>
      <c r="E118" s="201"/>
      <c r="F118" s="151"/>
      <c r="G118" s="151"/>
      <c r="H118" s="201"/>
      <c r="I118" s="151"/>
      <c r="J118" s="202"/>
      <c r="K118" s="201"/>
      <c r="L118" s="151"/>
      <c r="M118" s="202"/>
      <c r="N118" s="201"/>
      <c r="O118" s="202"/>
      <c r="P118" s="201"/>
      <c r="Q118" s="202"/>
      <c r="R118" s="7">
        <f t="shared" si="1"/>
        <v>162.81300000000002</v>
      </c>
      <c r="S118" s="202"/>
      <c r="T118" s="21" t="s">
        <v>798</v>
      </c>
      <c r="X118"/>
      <c r="Y118" s="89"/>
    </row>
    <row r="119" spans="2:25" ht="14.25">
      <c r="B119" s="27" t="s">
        <v>425</v>
      </c>
      <c r="C119" s="27" t="s">
        <v>805</v>
      </c>
      <c r="D119" s="322">
        <v>5101005487</v>
      </c>
      <c r="E119" s="201"/>
      <c r="F119" s="151"/>
      <c r="G119" s="151"/>
      <c r="H119" s="201"/>
      <c r="I119" s="151"/>
      <c r="J119" s="202"/>
      <c r="K119" s="201"/>
      <c r="L119" s="151"/>
      <c r="M119" s="202"/>
      <c r="N119" s="201"/>
      <c r="O119" s="202"/>
      <c r="P119" s="201"/>
      <c r="Q119" s="202"/>
      <c r="R119" s="7">
        <f t="shared" si="1"/>
        <v>229.23800000000003</v>
      </c>
      <c r="S119" s="202"/>
      <c r="T119" s="21" t="s">
        <v>798</v>
      </c>
      <c r="X119"/>
      <c r="Y119" s="89"/>
    </row>
    <row r="120" spans="2:25" ht="14.25">
      <c r="B120" s="27" t="s">
        <v>425</v>
      </c>
      <c r="C120" s="27" t="s">
        <v>805</v>
      </c>
      <c r="D120" s="322">
        <v>5101005587</v>
      </c>
      <c r="E120" s="201"/>
      <c r="F120" s="151"/>
      <c r="G120" s="151"/>
      <c r="H120" s="201"/>
      <c r="I120" s="151"/>
      <c r="J120" s="202"/>
      <c r="K120" s="201"/>
      <c r="L120" s="151"/>
      <c r="M120" s="202"/>
      <c r="N120" s="201"/>
      <c r="O120" s="202"/>
      <c r="P120" s="201"/>
      <c r="Q120" s="202"/>
      <c r="R120" s="7">
        <f t="shared" si="1"/>
        <v>336.97700000000003</v>
      </c>
      <c r="S120" s="202"/>
      <c r="T120" s="21" t="s">
        <v>798</v>
      </c>
      <c r="X120"/>
      <c r="Y120" s="89"/>
    </row>
    <row r="121" spans="2:25" ht="14.25">
      <c r="B121" s="27" t="s">
        <v>425</v>
      </c>
      <c r="C121" s="27" t="s">
        <v>805</v>
      </c>
      <c r="D121" s="322">
        <v>5101005687</v>
      </c>
      <c r="E121" s="201"/>
      <c r="F121" s="151"/>
      <c r="G121" s="151"/>
      <c r="H121" s="201"/>
      <c r="I121" s="151"/>
      <c r="J121" s="202"/>
      <c r="K121" s="201"/>
      <c r="L121" s="151"/>
      <c r="M121" s="202"/>
      <c r="N121" s="201"/>
      <c r="O121" s="202"/>
      <c r="P121" s="201"/>
      <c r="Q121" s="202"/>
      <c r="R121" s="7">
        <f t="shared" si="1"/>
        <v>869.49200000000008</v>
      </c>
      <c r="S121" s="202"/>
      <c r="T121" s="21" t="s">
        <v>798</v>
      </c>
      <c r="X121"/>
      <c r="Y121" s="89"/>
    </row>
    <row r="122" spans="2:25" ht="14.25">
      <c r="B122" s="27" t="s">
        <v>425</v>
      </c>
      <c r="C122" s="27" t="s">
        <v>805</v>
      </c>
      <c r="D122" s="322">
        <v>5101005787</v>
      </c>
      <c r="E122" s="201"/>
      <c r="F122" s="151"/>
      <c r="G122" s="151"/>
      <c r="H122" s="201"/>
      <c r="I122" s="151"/>
      <c r="J122" s="202"/>
      <c r="K122" s="201"/>
      <c r="L122" s="151"/>
      <c r="M122" s="202"/>
      <c r="N122" s="201"/>
      <c r="O122" s="202"/>
      <c r="P122" s="201"/>
      <c r="Q122" s="202"/>
      <c r="R122" s="7">
        <f t="shared" si="1"/>
        <v>49.7395</v>
      </c>
      <c r="S122" s="202"/>
      <c r="T122" s="21" t="s">
        <v>798</v>
      </c>
      <c r="X122"/>
      <c r="Y122" s="89"/>
    </row>
    <row r="123" spans="2:25" ht="14.25">
      <c r="B123" s="27" t="s">
        <v>425</v>
      </c>
      <c r="C123" s="27" t="s">
        <v>805</v>
      </c>
      <c r="D123" s="322">
        <v>5101005887</v>
      </c>
      <c r="E123" s="201"/>
      <c r="F123" s="151"/>
      <c r="G123" s="151"/>
      <c r="H123" s="201"/>
      <c r="I123" s="151"/>
      <c r="J123" s="202"/>
      <c r="K123" s="201"/>
      <c r="L123" s="151"/>
      <c r="M123" s="202"/>
      <c r="N123" s="201"/>
      <c r="O123" s="202"/>
      <c r="P123" s="201"/>
      <c r="Q123" s="202"/>
      <c r="R123" s="7">
        <f t="shared" si="1"/>
        <v>59.087000000000003</v>
      </c>
      <c r="S123" s="202"/>
      <c r="T123" s="21" t="s">
        <v>798</v>
      </c>
      <c r="X123"/>
      <c r="Y123" s="89"/>
    </row>
    <row r="124" spans="2:25" ht="14.25">
      <c r="B124" s="27" t="s">
        <v>425</v>
      </c>
      <c r="C124" s="27" t="s">
        <v>805</v>
      </c>
      <c r="D124" s="322">
        <v>5101008587</v>
      </c>
      <c r="E124" s="201"/>
      <c r="F124" s="151"/>
      <c r="G124" s="151"/>
      <c r="H124" s="201"/>
      <c r="I124" s="151"/>
      <c r="J124" s="202"/>
      <c r="K124" s="201"/>
      <c r="L124" s="151"/>
      <c r="M124" s="202"/>
      <c r="N124" s="201"/>
      <c r="O124" s="202"/>
      <c r="P124" s="201"/>
      <c r="Q124" s="202"/>
      <c r="R124" s="7">
        <f t="shared" si="1"/>
        <v>592.90800000000002</v>
      </c>
      <c r="S124" s="202"/>
      <c r="T124" s="21" t="s">
        <v>800</v>
      </c>
      <c r="X124"/>
      <c r="Y124" s="89"/>
    </row>
    <row r="125" spans="2:25" ht="14.25">
      <c r="B125" s="27" t="s">
        <v>425</v>
      </c>
      <c r="C125" s="27" t="s">
        <v>805</v>
      </c>
      <c r="D125" s="322">
        <v>5101008687</v>
      </c>
      <c r="E125" s="201"/>
      <c r="F125" s="151"/>
      <c r="G125" s="151"/>
      <c r="H125" s="201"/>
      <c r="I125" s="151"/>
      <c r="J125" s="202"/>
      <c r="K125" s="201"/>
      <c r="L125" s="151"/>
      <c r="M125" s="202"/>
      <c r="N125" s="201"/>
      <c r="O125" s="202"/>
      <c r="P125" s="201"/>
      <c r="Q125" s="202"/>
      <c r="R125" s="7">
        <f t="shared" si="1"/>
        <v>180.40050000000002</v>
      </c>
      <c r="S125" s="202"/>
      <c r="T125" s="21" t="s">
        <v>800</v>
      </c>
      <c r="X125"/>
      <c r="Y125" s="89"/>
    </row>
    <row r="126" spans="2:25" ht="14.25">
      <c r="B126" s="27" t="s">
        <v>425</v>
      </c>
      <c r="C126" s="27" t="s">
        <v>805</v>
      </c>
      <c r="D126" s="322">
        <v>5101008787</v>
      </c>
      <c r="E126" s="201"/>
      <c r="F126" s="151"/>
      <c r="G126" s="151"/>
      <c r="H126" s="201"/>
      <c r="I126" s="151"/>
      <c r="J126" s="202"/>
      <c r="K126" s="201"/>
      <c r="L126" s="151"/>
      <c r="M126" s="202"/>
      <c r="N126" s="201"/>
      <c r="O126" s="202"/>
      <c r="P126" s="201"/>
      <c r="Q126" s="202"/>
      <c r="R126" s="7">
        <f t="shared" si="1"/>
        <v>80.086500000000001</v>
      </c>
      <c r="S126" s="202"/>
      <c r="T126" s="21" t="s">
        <v>800</v>
      </c>
      <c r="X126"/>
      <c r="Y126" s="89"/>
    </row>
    <row r="127" spans="2:25" ht="14.25">
      <c r="B127" s="27" t="s">
        <v>425</v>
      </c>
      <c r="C127" s="27" t="s">
        <v>805</v>
      </c>
      <c r="D127" s="322">
        <v>5101008887</v>
      </c>
      <c r="E127" s="201"/>
      <c r="F127" s="151"/>
      <c r="G127" s="151"/>
      <c r="H127" s="201"/>
      <c r="I127" s="151"/>
      <c r="J127" s="202"/>
      <c r="K127" s="201"/>
      <c r="L127" s="151"/>
      <c r="M127" s="202"/>
      <c r="N127" s="201"/>
      <c r="O127" s="202"/>
      <c r="P127" s="201"/>
      <c r="Q127" s="202"/>
      <c r="R127" s="7">
        <f t="shared" si="1"/>
        <v>67.023499999999999</v>
      </c>
      <c r="S127" s="202"/>
      <c r="T127" s="21" t="s">
        <v>800</v>
      </c>
      <c r="X127"/>
      <c r="Y127" s="89"/>
    </row>
    <row r="128" spans="2:25" ht="14.25">
      <c r="B128" s="27" t="s">
        <v>425</v>
      </c>
      <c r="C128" s="27" t="s">
        <v>805</v>
      </c>
      <c r="D128" s="322">
        <v>5101008987</v>
      </c>
      <c r="E128" s="201"/>
      <c r="F128" s="151"/>
      <c r="G128" s="151"/>
      <c r="H128" s="201"/>
      <c r="I128" s="151"/>
      <c r="J128" s="202"/>
      <c r="K128" s="201"/>
      <c r="L128" s="151"/>
      <c r="M128" s="202"/>
      <c r="N128" s="201"/>
      <c r="O128" s="202"/>
      <c r="P128" s="201"/>
      <c r="Q128" s="202"/>
      <c r="R128" s="7">
        <f t="shared" si="1"/>
        <v>163.45050000000003</v>
      </c>
      <c r="S128" s="202"/>
      <c r="T128" s="21" t="s">
        <v>800</v>
      </c>
      <c r="X128"/>
      <c r="Y128" s="89"/>
    </row>
    <row r="129" spans="2:25" ht="14.25">
      <c r="B129" s="27" t="s">
        <v>425</v>
      </c>
      <c r="C129" s="27" t="s">
        <v>805</v>
      </c>
      <c r="D129" s="322">
        <v>5101009087</v>
      </c>
      <c r="E129" s="201"/>
      <c r="F129" s="151"/>
      <c r="G129" s="151"/>
      <c r="H129" s="201"/>
      <c r="I129" s="151"/>
      <c r="J129" s="202"/>
      <c r="K129" s="201"/>
      <c r="L129" s="151"/>
      <c r="M129" s="202"/>
      <c r="N129" s="201"/>
      <c r="O129" s="202"/>
      <c r="P129" s="201"/>
      <c r="Q129" s="202"/>
      <c r="R129" s="7">
        <f t="shared" si="1"/>
        <v>71.703500000000005</v>
      </c>
      <c r="S129" s="202"/>
      <c r="T129" s="21" t="s">
        <v>800</v>
      </c>
      <c r="X129"/>
      <c r="Y129" s="89"/>
    </row>
    <row r="130" spans="2:25" ht="14.25">
      <c r="B130" s="27" t="s">
        <v>425</v>
      </c>
      <c r="C130" s="27" t="s">
        <v>805</v>
      </c>
      <c r="D130" s="322">
        <v>5101009187</v>
      </c>
      <c r="E130" s="201"/>
      <c r="F130" s="151"/>
      <c r="G130" s="151"/>
      <c r="H130" s="201"/>
      <c r="I130" s="151"/>
      <c r="J130" s="202"/>
      <c r="K130" s="201"/>
      <c r="L130" s="151"/>
      <c r="M130" s="202"/>
      <c r="N130" s="201"/>
      <c r="O130" s="202"/>
      <c r="P130" s="201"/>
      <c r="Q130" s="202"/>
      <c r="R130" s="7">
        <f t="shared" si="1"/>
        <v>207.4665</v>
      </c>
      <c r="S130" s="202"/>
      <c r="T130" s="21" t="s">
        <v>800</v>
      </c>
      <c r="X130"/>
      <c r="Y130" s="89"/>
    </row>
    <row r="131" spans="2:25" ht="14.25">
      <c r="B131" s="27" t="s">
        <v>425</v>
      </c>
      <c r="C131" s="27" t="s">
        <v>805</v>
      </c>
      <c r="D131" s="322">
        <v>5101009287</v>
      </c>
      <c r="E131" s="201"/>
      <c r="F131" s="151"/>
      <c r="G131" s="151"/>
      <c r="H131" s="201"/>
      <c r="I131" s="151"/>
      <c r="J131" s="202"/>
      <c r="K131" s="201"/>
      <c r="L131" s="151"/>
      <c r="M131" s="202"/>
      <c r="N131" s="201"/>
      <c r="O131" s="202"/>
      <c r="P131" s="201"/>
      <c r="Q131" s="202"/>
      <c r="R131" s="7">
        <f t="shared" si="1"/>
        <v>42.308500000000002</v>
      </c>
      <c r="S131" s="202"/>
      <c r="T131" s="21" t="s">
        <v>800</v>
      </c>
      <c r="X131"/>
      <c r="Y131" s="89"/>
    </row>
    <row r="132" spans="2:25" ht="14.25">
      <c r="B132" s="27" t="s">
        <v>425</v>
      </c>
      <c r="C132" s="27" t="s">
        <v>805</v>
      </c>
      <c r="D132" s="322">
        <v>5101009387</v>
      </c>
      <c r="E132" s="201"/>
      <c r="F132" s="151"/>
      <c r="G132" s="151"/>
      <c r="H132" s="201"/>
      <c r="I132" s="151"/>
      <c r="J132" s="202"/>
      <c r="K132" s="201"/>
      <c r="L132" s="151"/>
      <c r="M132" s="202"/>
      <c r="N132" s="201"/>
      <c r="O132" s="202"/>
      <c r="P132" s="201"/>
      <c r="Q132" s="202"/>
      <c r="R132" s="7">
        <f t="shared" si="1"/>
        <v>14.233500000000001</v>
      </c>
      <c r="S132" s="202"/>
      <c r="T132" s="21" t="s">
        <v>800</v>
      </c>
      <c r="X132"/>
      <c r="Y132" s="89"/>
    </row>
    <row r="133" spans="2:25" ht="14.25">
      <c r="B133" s="27" t="s">
        <v>425</v>
      </c>
      <c r="C133" s="27" t="s">
        <v>805</v>
      </c>
      <c r="D133" s="322">
        <v>5101013587</v>
      </c>
      <c r="E133" s="201"/>
      <c r="F133" s="151"/>
      <c r="G133" s="151"/>
      <c r="H133" s="201"/>
      <c r="I133" s="151"/>
      <c r="J133" s="202"/>
      <c r="K133" s="201"/>
      <c r="L133" s="151"/>
      <c r="M133" s="202"/>
      <c r="N133" s="201"/>
      <c r="O133" s="202"/>
      <c r="P133" s="201"/>
      <c r="Q133" s="202"/>
      <c r="R133" s="7">
        <f t="shared" si="1"/>
        <v>60.478000000000002</v>
      </c>
      <c r="S133" s="202"/>
      <c r="T133" s="21" t="s">
        <v>801</v>
      </c>
      <c r="X133"/>
      <c r="Y133" s="89"/>
    </row>
    <row r="134" spans="2:25" ht="14.25">
      <c r="B134" s="27" t="s">
        <v>425</v>
      </c>
      <c r="C134" s="27" t="s">
        <v>805</v>
      </c>
      <c r="D134" s="322">
        <v>5101013687</v>
      </c>
      <c r="E134" s="201"/>
      <c r="F134" s="151"/>
      <c r="G134" s="151"/>
      <c r="H134" s="201"/>
      <c r="I134" s="151"/>
      <c r="J134" s="202"/>
      <c r="K134" s="201"/>
      <c r="L134" s="151"/>
      <c r="M134" s="202"/>
      <c r="N134" s="201"/>
      <c r="O134" s="202"/>
      <c r="P134" s="201"/>
      <c r="Q134" s="202"/>
      <c r="R134" s="7">
        <f t="shared" si="1"/>
        <v>692.54300000000012</v>
      </c>
      <c r="S134" s="202"/>
      <c r="T134" s="21" t="s">
        <v>801</v>
      </c>
      <c r="X134"/>
      <c r="Y134" s="89"/>
    </row>
    <row r="135" spans="2:25" ht="14.25">
      <c r="B135" s="27" t="s">
        <v>425</v>
      </c>
      <c r="C135" s="27" t="s">
        <v>805</v>
      </c>
      <c r="D135" s="322">
        <v>5101013787</v>
      </c>
      <c r="E135" s="201"/>
      <c r="F135" s="151"/>
      <c r="G135" s="151"/>
      <c r="H135" s="201"/>
      <c r="I135" s="151"/>
      <c r="J135" s="202"/>
      <c r="K135" s="201"/>
      <c r="L135" s="151"/>
      <c r="M135" s="202"/>
      <c r="N135" s="201"/>
      <c r="O135" s="202"/>
      <c r="P135" s="201"/>
      <c r="Q135" s="202"/>
      <c r="R135" s="7">
        <f t="shared" si="1"/>
        <v>66.912999999999997</v>
      </c>
      <c r="S135" s="202"/>
      <c r="T135" s="21" t="s">
        <v>801</v>
      </c>
      <c r="X135"/>
      <c r="Y135" s="89"/>
    </row>
    <row r="136" spans="2:25" ht="14.25">
      <c r="B136" s="27" t="s">
        <v>425</v>
      </c>
      <c r="C136" s="27" t="s">
        <v>805</v>
      </c>
      <c r="D136" s="322">
        <v>5101013887</v>
      </c>
      <c r="E136" s="201"/>
      <c r="F136" s="151"/>
      <c r="G136" s="151"/>
      <c r="H136" s="201"/>
      <c r="I136" s="151"/>
      <c r="J136" s="202"/>
      <c r="K136" s="201"/>
      <c r="L136" s="151"/>
      <c r="M136" s="202"/>
      <c r="N136" s="201"/>
      <c r="O136" s="202"/>
      <c r="P136" s="201"/>
      <c r="Q136" s="202"/>
      <c r="R136" s="7">
        <f t="shared" si="1"/>
        <v>15.474000000000002</v>
      </c>
      <c r="S136" s="202"/>
      <c r="T136" s="21" t="s">
        <v>801</v>
      </c>
      <c r="X136"/>
      <c r="Y136" s="89"/>
    </row>
    <row r="137" spans="2:25" ht="14.25">
      <c r="B137" s="27" t="s">
        <v>425</v>
      </c>
      <c r="C137" s="27" t="s">
        <v>805</v>
      </c>
      <c r="D137" s="322">
        <v>5101013987</v>
      </c>
      <c r="E137" s="201"/>
      <c r="F137" s="151"/>
      <c r="G137" s="151"/>
      <c r="H137" s="201"/>
      <c r="I137" s="151"/>
      <c r="J137" s="202"/>
      <c r="K137" s="201"/>
      <c r="L137" s="151"/>
      <c r="M137" s="202"/>
      <c r="N137" s="201"/>
      <c r="O137" s="202"/>
      <c r="P137" s="201"/>
      <c r="Q137" s="202"/>
      <c r="R137" s="7">
        <f t="shared" si="1"/>
        <v>81.117999999999995</v>
      </c>
      <c r="S137" s="202"/>
      <c r="T137" s="21" t="s">
        <v>801</v>
      </c>
      <c r="X137"/>
      <c r="Y137" s="89"/>
    </row>
    <row r="138" spans="2:25" ht="14.25">
      <c r="B138" s="27" t="s">
        <v>425</v>
      </c>
      <c r="C138" s="27" t="s">
        <v>805</v>
      </c>
      <c r="D138" s="322">
        <v>5101014087</v>
      </c>
      <c r="E138" s="201"/>
      <c r="F138" s="151"/>
      <c r="G138" s="151"/>
      <c r="H138" s="201"/>
      <c r="I138" s="151"/>
      <c r="J138" s="202"/>
      <c r="K138" s="201"/>
      <c r="L138" s="151"/>
      <c r="M138" s="202"/>
      <c r="N138" s="201"/>
      <c r="O138" s="202"/>
      <c r="P138" s="201"/>
      <c r="Q138" s="202"/>
      <c r="R138" s="7">
        <f t="shared" si="1"/>
        <v>145.0145</v>
      </c>
      <c r="S138" s="202"/>
      <c r="T138" s="21" t="s">
        <v>801</v>
      </c>
      <c r="X138"/>
      <c r="Y138" s="89"/>
    </row>
    <row r="139" spans="2:25" ht="14.25">
      <c r="B139" s="27" t="s">
        <v>425</v>
      </c>
      <c r="C139" s="27" t="s">
        <v>805</v>
      </c>
      <c r="D139" s="322">
        <v>5101014187</v>
      </c>
      <c r="E139" s="201"/>
      <c r="F139" s="151"/>
      <c r="G139" s="151"/>
      <c r="H139" s="201"/>
      <c r="I139" s="151"/>
      <c r="J139" s="202"/>
      <c r="K139" s="201"/>
      <c r="L139" s="151"/>
      <c r="M139" s="202"/>
      <c r="N139" s="201"/>
      <c r="O139" s="202"/>
      <c r="P139" s="201"/>
      <c r="Q139" s="202"/>
      <c r="R139" s="7">
        <f t="shared" si="1"/>
        <v>50.032499999999999</v>
      </c>
      <c r="S139" s="202"/>
      <c r="T139" s="21" t="s">
        <v>801</v>
      </c>
      <c r="X139"/>
      <c r="Y139" s="89"/>
    </row>
    <row r="140" spans="2:25" ht="14.25">
      <c r="B140" s="27" t="s">
        <v>425</v>
      </c>
      <c r="C140" s="27" t="s">
        <v>805</v>
      </c>
      <c r="D140" s="322">
        <v>5101016487</v>
      </c>
      <c r="E140" s="201"/>
      <c r="F140" s="151"/>
      <c r="G140" s="151"/>
      <c r="H140" s="201"/>
      <c r="I140" s="151"/>
      <c r="J140" s="202"/>
      <c r="K140" s="201"/>
      <c r="L140" s="151"/>
      <c r="M140" s="202"/>
      <c r="N140" s="201"/>
      <c r="O140" s="202"/>
      <c r="P140" s="201"/>
      <c r="Q140" s="202"/>
      <c r="R140" s="7">
        <f t="shared" si="1"/>
        <v>142.20650000000001</v>
      </c>
      <c r="S140" s="202"/>
      <c r="T140" s="21" t="s">
        <v>800</v>
      </c>
      <c r="X140"/>
      <c r="Y140" s="89"/>
    </row>
    <row r="141" spans="2:25" ht="14.25">
      <c r="B141" s="27" t="s">
        <v>425</v>
      </c>
      <c r="C141" s="27" t="s">
        <v>805</v>
      </c>
      <c r="D141" s="322">
        <v>5101016587</v>
      </c>
      <c r="E141" s="201"/>
      <c r="F141" s="151"/>
      <c r="G141" s="151"/>
      <c r="H141" s="201"/>
      <c r="I141" s="151"/>
      <c r="J141" s="202"/>
      <c r="K141" s="201"/>
      <c r="L141" s="151"/>
      <c r="M141" s="202"/>
      <c r="N141" s="201"/>
      <c r="O141" s="202"/>
      <c r="P141" s="201"/>
      <c r="Q141" s="202"/>
      <c r="R141" s="7">
        <f t="shared" si="1"/>
        <v>409.93450000000007</v>
      </c>
      <c r="S141" s="202"/>
      <c r="T141" s="21" t="s">
        <v>800</v>
      </c>
      <c r="X141"/>
      <c r="Y141" s="89"/>
    </row>
    <row r="142" spans="2:25" ht="14.25">
      <c r="B142" s="27" t="s">
        <v>425</v>
      </c>
      <c r="C142" s="27" t="s">
        <v>805</v>
      </c>
      <c r="D142" s="322">
        <v>5101016687</v>
      </c>
      <c r="E142" s="201"/>
      <c r="F142" s="151"/>
      <c r="G142" s="151"/>
      <c r="H142" s="201"/>
      <c r="I142" s="151"/>
      <c r="J142" s="202"/>
      <c r="K142" s="201"/>
      <c r="L142" s="151"/>
      <c r="M142" s="202"/>
      <c r="N142" s="201"/>
      <c r="O142" s="202"/>
      <c r="P142" s="201"/>
      <c r="Q142" s="202"/>
      <c r="R142" s="7">
        <f t="shared" si="1"/>
        <v>180.97500000000002</v>
      </c>
      <c r="S142" s="202"/>
      <c r="T142" s="21" t="s">
        <v>800</v>
      </c>
      <c r="X142"/>
      <c r="Y142" s="89"/>
    </row>
    <row r="143" spans="2:25" ht="14.25">
      <c r="B143" s="27" t="s">
        <v>425</v>
      </c>
      <c r="C143" s="27" t="s">
        <v>805</v>
      </c>
      <c r="D143" s="322">
        <v>5101743887</v>
      </c>
      <c r="E143" s="201"/>
      <c r="F143" s="151"/>
      <c r="G143" s="151"/>
      <c r="H143" s="201"/>
      <c r="I143" s="151"/>
      <c r="J143" s="202"/>
      <c r="K143" s="201"/>
      <c r="L143" s="151"/>
      <c r="M143" s="202"/>
      <c r="N143" s="201"/>
      <c r="O143" s="202"/>
      <c r="P143" s="201"/>
      <c r="Q143" s="202"/>
      <c r="R143" s="7">
        <f t="shared" si="1"/>
        <v>2368.0515</v>
      </c>
      <c r="S143" s="202"/>
      <c r="T143" s="21" t="s">
        <v>802</v>
      </c>
      <c r="X143"/>
      <c r="Y143" s="89"/>
    </row>
    <row r="144" spans="2:25" ht="14.25">
      <c r="B144" s="27" t="s">
        <v>425</v>
      </c>
      <c r="C144" s="27" t="s">
        <v>805</v>
      </c>
      <c r="D144" s="322">
        <v>5101743968</v>
      </c>
      <c r="E144" s="201"/>
      <c r="F144" s="151"/>
      <c r="G144" s="151"/>
      <c r="H144" s="201"/>
      <c r="I144" s="151"/>
      <c r="J144" s="202"/>
      <c r="K144" s="201"/>
      <c r="L144" s="151"/>
      <c r="M144" s="202"/>
      <c r="N144" s="201"/>
      <c r="O144" s="202"/>
      <c r="P144" s="201"/>
      <c r="Q144" s="202"/>
      <c r="R144" s="7">
        <f t="shared" si="1"/>
        <v>109.31450000000001</v>
      </c>
      <c r="S144" s="202"/>
      <c r="T144" s="21" t="s">
        <v>803</v>
      </c>
      <c r="X144"/>
      <c r="Y144" s="89"/>
    </row>
    <row r="145" spans="2:20">
      <c r="B145" s="27" t="s">
        <v>426</v>
      </c>
      <c r="C145" s="27" t="s">
        <v>61</v>
      </c>
      <c r="D145" s="175">
        <v>1988</v>
      </c>
      <c r="E145" s="25">
        <v>780.87</v>
      </c>
      <c r="F145" s="151">
        <v>42122</v>
      </c>
      <c r="G145" s="151">
        <v>42122</v>
      </c>
      <c r="H145" s="25">
        <v>0</v>
      </c>
      <c r="I145" s="25"/>
      <c r="J145" s="202"/>
      <c r="K145" s="201">
        <v>0</v>
      </c>
      <c r="L145" s="25"/>
      <c r="M145" s="202"/>
      <c r="N145" s="33"/>
      <c r="O145" s="202"/>
      <c r="P145" s="33"/>
      <c r="Q145" s="202"/>
      <c r="R145" s="33"/>
      <c r="S145" s="202"/>
      <c r="T145" s="21" t="s">
        <v>448</v>
      </c>
    </row>
    <row r="146" spans="2:20">
      <c r="B146" s="27" t="s">
        <v>426</v>
      </c>
      <c r="C146" s="27" t="s">
        <v>61</v>
      </c>
      <c r="D146" s="175">
        <v>1989</v>
      </c>
      <c r="E146" s="25">
        <v>565.59</v>
      </c>
      <c r="F146" s="151">
        <v>42122</v>
      </c>
      <c r="G146" s="151">
        <v>42122</v>
      </c>
      <c r="H146" s="25">
        <v>0</v>
      </c>
      <c r="I146" s="25"/>
      <c r="J146" s="202"/>
      <c r="K146" s="201">
        <v>0</v>
      </c>
      <c r="L146" s="25"/>
      <c r="M146" s="202"/>
      <c r="N146" s="33"/>
      <c r="O146" s="202"/>
      <c r="P146" s="33"/>
      <c r="Q146" s="202"/>
      <c r="R146" s="33"/>
      <c r="S146" s="202"/>
      <c r="T146" s="21" t="s">
        <v>448</v>
      </c>
    </row>
    <row r="147" spans="2:20">
      <c r="B147" s="27" t="s">
        <v>426</v>
      </c>
      <c r="C147" s="27" t="s">
        <v>61</v>
      </c>
      <c r="D147" s="180">
        <v>1990</v>
      </c>
      <c r="E147" s="25">
        <v>8336.1799999999985</v>
      </c>
      <c r="F147" s="151">
        <v>42122</v>
      </c>
      <c r="G147" s="151">
        <v>42122</v>
      </c>
      <c r="H147" s="25">
        <v>0</v>
      </c>
      <c r="I147" s="25"/>
      <c r="J147" s="202"/>
      <c r="K147" s="201">
        <v>0</v>
      </c>
      <c r="L147" s="25"/>
      <c r="M147" s="202"/>
      <c r="N147" s="33"/>
      <c r="O147" s="202"/>
      <c r="P147" s="33"/>
      <c r="Q147" s="202"/>
      <c r="R147" s="33"/>
      <c r="S147" s="202"/>
      <c r="T147" s="21" t="s">
        <v>448</v>
      </c>
    </row>
    <row r="148" spans="2:20">
      <c r="B148" s="27" t="s">
        <v>426</v>
      </c>
      <c r="C148" s="27" t="s">
        <v>61</v>
      </c>
      <c r="D148" s="180">
        <v>1991</v>
      </c>
      <c r="E148" s="25">
        <v>22282.850000000002</v>
      </c>
      <c r="F148" s="151">
        <v>42122</v>
      </c>
      <c r="G148" s="151">
        <v>42122</v>
      </c>
      <c r="H148" s="25">
        <v>0</v>
      </c>
      <c r="I148" s="25"/>
      <c r="J148" s="202"/>
      <c r="K148" s="201">
        <v>0</v>
      </c>
      <c r="L148" s="25"/>
      <c r="M148" s="202"/>
      <c r="N148" s="33"/>
      <c r="O148" s="202"/>
      <c r="P148" s="33"/>
      <c r="Q148" s="202"/>
      <c r="R148" s="33"/>
      <c r="S148" s="202"/>
      <c r="T148" s="21" t="s">
        <v>448</v>
      </c>
    </row>
    <row r="149" spans="2:20">
      <c r="B149" s="27" t="s">
        <v>426</v>
      </c>
      <c r="C149" s="27" t="s">
        <v>61</v>
      </c>
      <c r="D149" s="180">
        <v>1992</v>
      </c>
      <c r="E149" s="25">
        <v>7265.0199999999995</v>
      </c>
      <c r="F149" s="151">
        <v>42122</v>
      </c>
      <c r="G149" s="151">
        <v>42122</v>
      </c>
      <c r="H149" s="25">
        <v>0</v>
      </c>
      <c r="I149" s="25"/>
      <c r="J149" s="202"/>
      <c r="K149" s="201">
        <v>0</v>
      </c>
      <c r="L149" s="25"/>
      <c r="M149" s="202"/>
      <c r="N149" s="33"/>
      <c r="O149" s="202"/>
      <c r="P149" s="33"/>
      <c r="Q149" s="202"/>
      <c r="R149" s="33"/>
      <c r="S149" s="202"/>
      <c r="T149" s="21" t="s">
        <v>448</v>
      </c>
    </row>
    <row r="150" spans="2:20">
      <c r="B150" s="27" t="s">
        <v>426</v>
      </c>
      <c r="C150" s="27" t="s">
        <v>61</v>
      </c>
      <c r="D150" s="180">
        <v>1994</v>
      </c>
      <c r="E150" s="25">
        <v>883.25</v>
      </c>
      <c r="F150" s="151">
        <v>42122</v>
      </c>
      <c r="G150" s="151">
        <v>42122</v>
      </c>
      <c r="H150" s="25">
        <v>0</v>
      </c>
      <c r="I150" s="25"/>
      <c r="J150" s="202"/>
      <c r="K150" s="201">
        <v>0</v>
      </c>
      <c r="L150" s="25"/>
      <c r="M150" s="202"/>
      <c r="N150" s="33"/>
      <c r="O150" s="202"/>
      <c r="P150" s="33"/>
      <c r="Q150" s="202"/>
      <c r="R150" s="33"/>
      <c r="S150" s="202"/>
      <c r="T150" s="21" t="s">
        <v>448</v>
      </c>
    </row>
    <row r="151" spans="2:20">
      <c r="B151" s="27" t="s">
        <v>426</v>
      </c>
      <c r="C151" s="27" t="s">
        <v>61</v>
      </c>
      <c r="D151" s="180">
        <v>1995</v>
      </c>
      <c r="E151" s="25">
        <v>5591.32</v>
      </c>
      <c r="F151" s="151">
        <v>42122</v>
      </c>
      <c r="G151" s="151">
        <v>42122</v>
      </c>
      <c r="H151" s="25">
        <v>0</v>
      </c>
      <c r="I151" s="25"/>
      <c r="J151" s="202"/>
      <c r="K151" s="201">
        <v>0</v>
      </c>
      <c r="L151" s="25"/>
      <c r="M151" s="202"/>
      <c r="N151" s="33"/>
      <c r="O151" s="202"/>
      <c r="P151" s="33"/>
      <c r="Q151" s="202"/>
      <c r="R151" s="33"/>
      <c r="S151" s="202"/>
      <c r="T151" s="21" t="s">
        <v>448</v>
      </c>
    </row>
    <row r="152" spans="2:20">
      <c r="B152" s="27" t="s">
        <v>426</v>
      </c>
      <c r="C152" s="27" t="s">
        <v>61</v>
      </c>
      <c r="D152" s="180">
        <v>1996</v>
      </c>
      <c r="E152" s="25">
        <v>6635.19</v>
      </c>
      <c r="F152" s="151">
        <v>42122</v>
      </c>
      <c r="G152" s="151">
        <v>42122</v>
      </c>
      <c r="H152" s="25">
        <v>0</v>
      </c>
      <c r="I152" s="25"/>
      <c r="J152" s="202"/>
      <c r="K152" s="201">
        <v>0</v>
      </c>
      <c r="L152" s="25"/>
      <c r="M152" s="202"/>
      <c r="N152" s="33"/>
      <c r="O152" s="202"/>
      <c r="P152" s="33"/>
      <c r="Q152" s="202"/>
      <c r="R152" s="33"/>
      <c r="S152" s="202"/>
      <c r="T152" s="21" t="s">
        <v>448</v>
      </c>
    </row>
    <row r="153" spans="2:20">
      <c r="B153" s="27" t="s">
        <v>426</v>
      </c>
      <c r="C153" s="27" t="s">
        <v>61</v>
      </c>
      <c r="D153" s="180">
        <v>1997</v>
      </c>
      <c r="E153" s="25">
        <v>15336.01</v>
      </c>
      <c r="F153" s="151">
        <v>42122</v>
      </c>
      <c r="G153" s="151">
        <v>42122</v>
      </c>
      <c r="H153" s="25">
        <v>0</v>
      </c>
      <c r="I153" s="25"/>
      <c r="J153" s="202"/>
      <c r="K153" s="201">
        <v>0</v>
      </c>
      <c r="L153" s="25"/>
      <c r="M153" s="202"/>
      <c r="N153" s="33"/>
      <c r="O153" s="202"/>
      <c r="P153" s="33"/>
      <c r="Q153" s="202"/>
      <c r="R153" s="33"/>
      <c r="S153" s="202"/>
      <c r="T153" s="21" t="s">
        <v>448</v>
      </c>
    </row>
    <row r="154" spans="2:20">
      <c r="B154" s="27" t="s">
        <v>426</v>
      </c>
      <c r="C154" s="27" t="s">
        <v>61</v>
      </c>
      <c r="D154" s="180">
        <v>1998</v>
      </c>
      <c r="E154" s="25">
        <v>19791.75</v>
      </c>
      <c r="F154" s="151">
        <v>42122</v>
      </c>
      <c r="G154" s="151">
        <v>42122</v>
      </c>
      <c r="H154" s="25">
        <v>0</v>
      </c>
      <c r="I154" s="25"/>
      <c r="J154" s="202"/>
      <c r="K154" s="25">
        <v>0</v>
      </c>
      <c r="L154" s="25"/>
      <c r="M154" s="202"/>
      <c r="N154" s="33"/>
      <c r="O154" s="202"/>
      <c r="P154" s="33"/>
      <c r="Q154" s="202"/>
      <c r="R154" s="33"/>
      <c r="S154" s="202"/>
      <c r="T154" s="21" t="s">
        <v>448</v>
      </c>
    </row>
    <row r="155" spans="2:20">
      <c r="B155" s="27" t="s">
        <v>426</v>
      </c>
      <c r="C155" s="27" t="s">
        <v>61</v>
      </c>
      <c r="D155" s="180">
        <v>1999</v>
      </c>
      <c r="E155" s="25">
        <v>16086.640000000001</v>
      </c>
      <c r="F155" s="151">
        <v>42122</v>
      </c>
      <c r="G155" s="151">
        <v>42122</v>
      </c>
      <c r="H155" s="25">
        <v>0</v>
      </c>
      <c r="I155" s="154"/>
      <c r="J155" s="202"/>
      <c r="K155" s="25">
        <v>0</v>
      </c>
      <c r="L155" s="154"/>
      <c r="M155" s="202"/>
      <c r="N155" s="33"/>
      <c r="O155" s="202"/>
      <c r="P155" s="33"/>
      <c r="Q155" s="202"/>
      <c r="R155" s="33"/>
      <c r="S155" s="202"/>
      <c r="T155" s="21" t="s">
        <v>485</v>
      </c>
    </row>
    <row r="156" spans="2:20">
      <c r="B156" s="27" t="s">
        <v>426</v>
      </c>
      <c r="C156" s="27" t="s">
        <v>61</v>
      </c>
      <c r="D156" s="180">
        <v>2000</v>
      </c>
      <c r="E156" s="25">
        <v>15262.960000000001</v>
      </c>
      <c r="F156" s="151">
        <v>42122</v>
      </c>
      <c r="G156" s="151">
        <v>42122</v>
      </c>
      <c r="H156" s="25">
        <v>0</v>
      </c>
      <c r="I156" s="154"/>
      <c r="J156" s="202"/>
      <c r="K156" s="25">
        <v>0</v>
      </c>
      <c r="L156" s="154"/>
      <c r="M156" s="202"/>
      <c r="N156" s="33"/>
      <c r="O156" s="202"/>
      <c r="P156" s="33"/>
      <c r="Q156" s="202"/>
      <c r="R156" s="33"/>
      <c r="S156" s="202"/>
      <c r="T156" s="21" t="s">
        <v>485</v>
      </c>
    </row>
    <row r="157" spans="2:20">
      <c r="B157" s="27" t="s">
        <v>426</v>
      </c>
      <c r="C157" s="27" t="s">
        <v>61</v>
      </c>
      <c r="D157" s="180">
        <v>2001</v>
      </c>
      <c r="E157" s="25">
        <v>16005.05</v>
      </c>
      <c r="F157" s="151">
        <v>42122</v>
      </c>
      <c r="G157" s="151">
        <v>42122</v>
      </c>
      <c r="H157" s="25">
        <v>0</v>
      </c>
      <c r="I157" s="154"/>
      <c r="J157" s="202"/>
      <c r="K157" s="25">
        <v>0</v>
      </c>
      <c r="L157" s="154"/>
      <c r="M157" s="202"/>
      <c r="N157" s="33"/>
      <c r="O157" s="202"/>
      <c r="P157" s="33"/>
      <c r="Q157" s="202"/>
      <c r="R157" s="33"/>
      <c r="S157" s="202"/>
      <c r="T157" s="21" t="s">
        <v>485</v>
      </c>
    </row>
    <row r="158" spans="2:20">
      <c r="B158" s="27" t="s">
        <v>426</v>
      </c>
      <c r="C158" s="27" t="s">
        <v>61</v>
      </c>
      <c r="D158" s="180">
        <v>2002</v>
      </c>
      <c r="E158" s="25">
        <v>15390.609999999999</v>
      </c>
      <c r="F158" s="151">
        <v>42122</v>
      </c>
      <c r="G158" s="151">
        <v>42122</v>
      </c>
      <c r="H158" s="25">
        <v>0</v>
      </c>
      <c r="I158" s="154"/>
      <c r="J158" s="202"/>
      <c r="K158" s="25">
        <v>0</v>
      </c>
      <c r="L158" s="154"/>
      <c r="M158" s="202"/>
      <c r="N158" s="33"/>
      <c r="O158" s="202"/>
      <c r="P158" s="33"/>
      <c r="Q158" s="202"/>
      <c r="R158" s="33"/>
      <c r="S158" s="202"/>
      <c r="T158" s="21" t="s">
        <v>485</v>
      </c>
    </row>
    <row r="159" spans="2:20">
      <c r="B159" s="27" t="s">
        <v>426</v>
      </c>
      <c r="C159" s="27" t="s">
        <v>60</v>
      </c>
      <c r="D159" s="180">
        <v>2003</v>
      </c>
      <c r="E159" s="25">
        <v>14473.82</v>
      </c>
      <c r="F159" s="151">
        <v>42122</v>
      </c>
      <c r="G159" s="151">
        <v>42122</v>
      </c>
      <c r="H159" s="25">
        <v>0</v>
      </c>
      <c r="I159" s="154"/>
      <c r="J159" s="202"/>
      <c r="K159" s="25">
        <v>0</v>
      </c>
      <c r="L159" s="154"/>
      <c r="M159" s="202"/>
      <c r="N159" s="33"/>
      <c r="O159" s="202"/>
      <c r="P159" s="33"/>
      <c r="Q159" s="202"/>
      <c r="R159" s="33"/>
      <c r="S159" s="202"/>
      <c r="T159" s="21" t="s">
        <v>485</v>
      </c>
    </row>
    <row r="160" spans="2:20">
      <c r="B160" s="27" t="s">
        <v>426</v>
      </c>
      <c r="C160" s="27" t="s">
        <v>61</v>
      </c>
      <c r="D160" s="180">
        <v>2004</v>
      </c>
      <c r="E160" s="25">
        <v>13943.150000000001</v>
      </c>
      <c r="F160" s="151">
        <v>42122</v>
      </c>
      <c r="G160" s="151">
        <v>42122</v>
      </c>
      <c r="H160" s="25">
        <v>0</v>
      </c>
      <c r="I160" s="154"/>
      <c r="J160" s="202"/>
      <c r="K160" s="25">
        <v>0</v>
      </c>
      <c r="L160" s="154"/>
      <c r="M160" s="202"/>
      <c r="N160" s="33"/>
      <c r="O160" s="202"/>
      <c r="P160" s="33"/>
      <c r="Q160" s="202"/>
      <c r="R160" s="33"/>
      <c r="S160" s="202"/>
      <c r="T160" s="21" t="s">
        <v>485</v>
      </c>
    </row>
    <row r="161" spans="2:20">
      <c r="B161" s="27" t="s">
        <v>426</v>
      </c>
      <c r="C161" s="27" t="s">
        <v>60</v>
      </c>
      <c r="D161" s="180">
        <v>2005</v>
      </c>
      <c r="E161" s="25">
        <v>13029.74</v>
      </c>
      <c r="F161" s="151">
        <v>42122</v>
      </c>
      <c r="G161" s="151">
        <v>42122</v>
      </c>
      <c r="H161" s="25">
        <v>0</v>
      </c>
      <c r="I161" s="154"/>
      <c r="J161" s="202"/>
      <c r="K161" s="25">
        <v>0</v>
      </c>
      <c r="L161" s="154"/>
      <c r="M161" s="202"/>
      <c r="N161" s="33"/>
      <c r="O161" s="202"/>
      <c r="P161" s="33"/>
      <c r="Q161" s="202"/>
      <c r="R161" s="33"/>
      <c r="S161" s="202"/>
      <c r="T161" s="21" t="s">
        <v>485</v>
      </c>
    </row>
    <row r="162" spans="2:20">
      <c r="B162" s="27" t="s">
        <v>426</v>
      </c>
      <c r="C162" s="27" t="s">
        <v>60</v>
      </c>
      <c r="D162" s="180">
        <v>2006</v>
      </c>
      <c r="E162" s="25">
        <v>14469.480000000001</v>
      </c>
      <c r="F162" s="151">
        <v>42122</v>
      </c>
      <c r="G162" s="151">
        <v>42122</v>
      </c>
      <c r="H162" s="25">
        <v>0</v>
      </c>
      <c r="I162" s="154"/>
      <c r="J162" s="202"/>
      <c r="K162" s="25">
        <v>0</v>
      </c>
      <c r="L162" s="154"/>
      <c r="M162" s="202"/>
      <c r="N162" s="33"/>
      <c r="O162" s="202"/>
      <c r="P162" s="33"/>
      <c r="Q162" s="202"/>
      <c r="R162" s="33"/>
      <c r="S162" s="202"/>
      <c r="T162" s="21" t="s">
        <v>485</v>
      </c>
    </row>
    <row r="163" spans="2:20">
      <c r="B163" s="27" t="s">
        <v>426</v>
      </c>
      <c r="C163" s="27" t="s">
        <v>60</v>
      </c>
      <c r="D163" s="180">
        <v>2007</v>
      </c>
      <c r="E163" s="25">
        <v>14040.15</v>
      </c>
      <c r="F163" s="151">
        <v>42122</v>
      </c>
      <c r="G163" s="151">
        <v>42122</v>
      </c>
      <c r="H163" s="25">
        <v>0</v>
      </c>
      <c r="I163" s="154"/>
      <c r="J163" s="202"/>
      <c r="K163" s="25">
        <v>0</v>
      </c>
      <c r="L163" s="154"/>
      <c r="M163" s="202"/>
      <c r="N163" s="33"/>
      <c r="O163" s="202"/>
      <c r="P163" s="33"/>
      <c r="Q163" s="202"/>
      <c r="R163" s="33"/>
      <c r="S163" s="202"/>
      <c r="T163" s="21" t="s">
        <v>485</v>
      </c>
    </row>
    <row r="164" spans="2:20">
      <c r="B164" s="27" t="s">
        <v>426</v>
      </c>
      <c r="C164" s="27" t="s">
        <v>60</v>
      </c>
      <c r="D164" s="180">
        <v>2008</v>
      </c>
      <c r="E164" s="25">
        <v>12288.94</v>
      </c>
      <c r="F164" s="151">
        <v>42122</v>
      </c>
      <c r="G164" s="151">
        <v>42122</v>
      </c>
      <c r="H164" s="25">
        <v>0</v>
      </c>
      <c r="I164" s="154"/>
      <c r="J164" s="202"/>
      <c r="K164" s="25">
        <v>0</v>
      </c>
      <c r="L164" s="154"/>
      <c r="M164" s="202"/>
      <c r="N164" s="33"/>
      <c r="O164" s="202"/>
      <c r="P164" s="33"/>
      <c r="Q164" s="202"/>
      <c r="R164" s="33"/>
      <c r="S164" s="202"/>
      <c r="T164" s="21" t="s">
        <v>485</v>
      </c>
    </row>
    <row r="165" spans="2:20">
      <c r="B165" s="27" t="s">
        <v>426</v>
      </c>
      <c r="C165" s="27" t="s">
        <v>60</v>
      </c>
      <c r="D165" s="180">
        <v>2009</v>
      </c>
      <c r="E165" s="25">
        <v>11203.78</v>
      </c>
      <c r="F165" s="151">
        <v>42122</v>
      </c>
      <c r="G165" s="151">
        <v>42122</v>
      </c>
      <c r="H165" s="25">
        <v>0</v>
      </c>
      <c r="I165" s="154"/>
      <c r="J165" s="202"/>
      <c r="K165" s="25">
        <v>0</v>
      </c>
      <c r="L165" s="154"/>
      <c r="M165" s="202"/>
      <c r="N165" s="33"/>
      <c r="O165" s="202"/>
      <c r="P165" s="33"/>
      <c r="Q165" s="202"/>
      <c r="R165" s="33"/>
      <c r="S165" s="202"/>
      <c r="T165" s="21" t="s">
        <v>485</v>
      </c>
    </row>
    <row r="166" spans="2:20">
      <c r="B166" s="27" t="s">
        <v>426</v>
      </c>
      <c r="C166" s="27" t="s">
        <v>60</v>
      </c>
      <c r="D166" s="180">
        <v>2010</v>
      </c>
      <c r="E166" s="25">
        <v>10135.220000000001</v>
      </c>
      <c r="F166" s="151">
        <v>42122</v>
      </c>
      <c r="G166" s="151">
        <v>42122</v>
      </c>
      <c r="H166" s="25">
        <v>0</v>
      </c>
      <c r="I166" s="154"/>
      <c r="J166" s="202"/>
      <c r="K166" s="25">
        <v>0</v>
      </c>
      <c r="L166" s="154"/>
      <c r="M166" s="202"/>
      <c r="N166" s="33"/>
      <c r="O166" s="202"/>
      <c r="P166" s="33"/>
      <c r="Q166" s="202"/>
      <c r="R166" s="33"/>
      <c r="S166" s="202"/>
      <c r="T166" s="21" t="s">
        <v>485</v>
      </c>
    </row>
    <row r="167" spans="2:20">
      <c r="B167" s="27" t="s">
        <v>426</v>
      </c>
      <c r="C167" s="27" t="s">
        <v>60</v>
      </c>
      <c r="D167" s="180">
        <v>2011</v>
      </c>
      <c r="E167" s="25">
        <v>9985.01</v>
      </c>
      <c r="F167" s="151">
        <v>42122</v>
      </c>
      <c r="G167" s="151">
        <v>42122</v>
      </c>
      <c r="H167" s="25">
        <v>0</v>
      </c>
      <c r="I167" s="154"/>
      <c r="J167" s="202"/>
      <c r="K167" s="25">
        <v>0</v>
      </c>
      <c r="L167" s="154"/>
      <c r="M167" s="202"/>
      <c r="N167" s="33"/>
      <c r="O167" s="202"/>
      <c r="P167" s="33"/>
      <c r="Q167" s="202"/>
      <c r="R167" s="33"/>
      <c r="S167" s="202"/>
      <c r="T167" s="21" t="s">
        <v>485</v>
      </c>
    </row>
    <row r="168" spans="2:20">
      <c r="B168" s="27" t="s">
        <v>426</v>
      </c>
      <c r="C168" s="27" t="s">
        <v>60</v>
      </c>
      <c r="D168" s="180">
        <v>2012</v>
      </c>
      <c r="E168" s="25">
        <v>9805.33</v>
      </c>
      <c r="F168" s="151">
        <v>42122</v>
      </c>
      <c r="G168" s="151">
        <v>42122</v>
      </c>
      <c r="H168" s="25">
        <v>0</v>
      </c>
      <c r="I168" s="154"/>
      <c r="J168" s="202"/>
      <c r="K168" s="25">
        <v>0</v>
      </c>
      <c r="L168" s="154"/>
      <c r="M168" s="202"/>
      <c r="N168" s="33"/>
      <c r="O168" s="202"/>
      <c r="P168" s="33"/>
      <c r="Q168" s="202"/>
      <c r="R168" s="33"/>
      <c r="S168" s="202"/>
      <c r="T168" s="21" t="s">
        <v>485</v>
      </c>
    </row>
    <row r="169" spans="2:20">
      <c r="B169" s="27" t="s">
        <v>426</v>
      </c>
      <c r="C169" s="27" t="s">
        <v>60</v>
      </c>
      <c r="D169" s="180">
        <v>2013</v>
      </c>
      <c r="E169" s="25">
        <v>8063.7799999999988</v>
      </c>
      <c r="F169" s="151">
        <v>42122</v>
      </c>
      <c r="G169" s="151">
        <v>42122</v>
      </c>
      <c r="H169" s="25">
        <v>0</v>
      </c>
      <c r="I169" s="154"/>
      <c r="J169" s="202"/>
      <c r="K169" s="25">
        <v>0</v>
      </c>
      <c r="L169" s="154"/>
      <c r="M169" s="202"/>
      <c r="N169" s="33"/>
      <c r="O169" s="202"/>
      <c r="P169" s="33"/>
      <c r="Q169" s="202"/>
      <c r="R169" s="33"/>
      <c r="S169" s="202"/>
      <c r="T169" s="21" t="s">
        <v>485</v>
      </c>
    </row>
    <row r="170" spans="2:20">
      <c r="B170" s="27" t="s">
        <v>426</v>
      </c>
      <c r="C170" s="27" t="s">
        <v>60</v>
      </c>
      <c r="D170" s="180">
        <v>2014</v>
      </c>
      <c r="E170" s="25">
        <v>7872.079999999999</v>
      </c>
      <c r="F170" s="151">
        <v>42122</v>
      </c>
      <c r="G170" s="151">
        <v>42122</v>
      </c>
      <c r="H170" s="25">
        <v>0</v>
      </c>
      <c r="I170" s="154"/>
      <c r="J170" s="202"/>
      <c r="K170" s="25">
        <v>0</v>
      </c>
      <c r="L170" s="154"/>
      <c r="M170" s="202"/>
      <c r="N170" s="33"/>
      <c r="O170" s="202"/>
      <c r="P170" s="33"/>
      <c r="Q170" s="202"/>
      <c r="R170" s="33"/>
      <c r="S170" s="202"/>
      <c r="T170" s="21" t="s">
        <v>485</v>
      </c>
    </row>
    <row r="171" spans="2:20">
      <c r="B171" s="27" t="s">
        <v>426</v>
      </c>
      <c r="C171" s="27" t="s">
        <v>62</v>
      </c>
      <c r="D171" s="180">
        <v>2015</v>
      </c>
      <c r="E171" s="25">
        <v>7709.03</v>
      </c>
      <c r="F171" s="151">
        <v>42122</v>
      </c>
      <c r="G171" s="151">
        <v>42122</v>
      </c>
      <c r="H171" s="25">
        <v>0</v>
      </c>
      <c r="I171" s="154"/>
      <c r="J171" s="202"/>
      <c r="K171" s="25">
        <v>0</v>
      </c>
      <c r="L171" s="154"/>
      <c r="M171" s="202"/>
      <c r="N171" s="33"/>
      <c r="O171" s="202"/>
      <c r="P171" s="33"/>
      <c r="Q171" s="202"/>
      <c r="R171" s="33"/>
      <c r="S171" s="202"/>
      <c r="T171" s="21" t="s">
        <v>485</v>
      </c>
    </row>
    <row r="172" spans="2:20" ht="26.25">
      <c r="B172" s="27" t="s">
        <v>564</v>
      </c>
      <c r="C172" s="27" t="s">
        <v>565</v>
      </c>
      <c r="D172" s="180" t="s">
        <v>566</v>
      </c>
      <c r="E172" s="25"/>
      <c r="F172" s="151"/>
      <c r="G172" s="151"/>
      <c r="H172" s="25"/>
      <c r="I172" s="154"/>
      <c r="J172" s="202"/>
      <c r="K172" s="25"/>
      <c r="L172" s="154"/>
      <c r="M172" s="202"/>
      <c r="N172" s="33">
        <v>0</v>
      </c>
      <c r="O172" s="202" t="s">
        <v>580</v>
      </c>
      <c r="P172" s="33">
        <v>0</v>
      </c>
      <c r="Q172" s="202" t="s">
        <v>580</v>
      </c>
      <c r="R172" s="33">
        <v>0</v>
      </c>
      <c r="S172" s="202" t="s">
        <v>580</v>
      </c>
      <c r="T172" s="309" t="s">
        <v>583</v>
      </c>
    </row>
    <row r="173" spans="2:20">
      <c r="B173" s="27"/>
      <c r="C173" s="27"/>
      <c r="D173" s="180"/>
      <c r="E173" s="25"/>
      <c r="F173" s="151"/>
      <c r="G173" s="151"/>
      <c r="H173" s="25"/>
      <c r="I173" s="154"/>
      <c r="J173" s="202"/>
      <c r="K173" s="25"/>
      <c r="L173" s="154"/>
      <c r="M173" s="202"/>
      <c r="N173" s="33"/>
      <c r="O173" s="202"/>
      <c r="P173" s="33"/>
      <c r="Q173" s="202"/>
      <c r="R173" s="33"/>
      <c r="S173" s="202"/>
      <c r="T173" s="21"/>
    </row>
    <row r="174" spans="2:20">
      <c r="B174" s="472" t="s">
        <v>56</v>
      </c>
      <c r="C174" s="472"/>
      <c r="D174" s="472"/>
      <c r="E174" s="49">
        <f>SUM(E5:E173)</f>
        <v>1499540.0700000003</v>
      </c>
      <c r="F174" s="49"/>
      <c r="G174" s="49"/>
      <c r="H174" s="49">
        <f>SUM(H5:H173)</f>
        <v>1166756.6400000001</v>
      </c>
      <c r="I174" s="49"/>
      <c r="J174" s="48"/>
      <c r="K174" s="49">
        <f>SUM(K5:K173)</f>
        <v>374434.58999999991</v>
      </c>
      <c r="L174" s="49"/>
      <c r="M174" s="48"/>
      <c r="N174" s="324">
        <f>SUM(N5:N173)</f>
        <v>392521.91</v>
      </c>
      <c r="O174" s="48"/>
      <c r="P174" s="325">
        <f>SUM(P5:P173)</f>
        <v>0</v>
      </c>
      <c r="Q174" s="326"/>
      <c r="R174" s="325">
        <f>SUM(R5:R173)</f>
        <v>331760.26599999989</v>
      </c>
      <c r="S174" s="326"/>
      <c r="T174" s="350"/>
    </row>
    <row r="175" spans="2:20">
      <c r="K175" s="337"/>
    </row>
    <row r="176" spans="2:20">
      <c r="H176" s="208"/>
      <c r="K176" s="208"/>
    </row>
    <row r="177" spans="2:20">
      <c r="B177" s="44" t="s">
        <v>539</v>
      </c>
    </row>
    <row r="178" spans="2:20">
      <c r="B178" s="479" t="s">
        <v>449</v>
      </c>
      <c r="C178" s="479"/>
      <c r="D178" s="479"/>
      <c r="E178" s="479"/>
      <c r="F178" s="479"/>
      <c r="G178" s="209"/>
      <c r="H178" s="210"/>
      <c r="I178" s="210"/>
      <c r="J178" s="210"/>
      <c r="K178" s="210"/>
      <c r="L178" s="210"/>
      <c r="M178" s="210"/>
      <c r="N178" s="227"/>
      <c r="O178" s="210"/>
      <c r="P178" s="227"/>
      <c r="Q178" s="210"/>
      <c r="R178" s="227"/>
      <c r="S178" s="210"/>
      <c r="T178" s="351"/>
    </row>
    <row r="179" spans="2:20" ht="26.25">
      <c r="B179" s="42" t="s">
        <v>423</v>
      </c>
      <c r="C179" s="42" t="s">
        <v>45</v>
      </c>
      <c r="D179" s="42" t="s">
        <v>66</v>
      </c>
      <c r="E179" s="43" t="s">
        <v>519</v>
      </c>
      <c r="F179" s="42" t="s">
        <v>94</v>
      </c>
      <c r="G179" s="42" t="s">
        <v>506</v>
      </c>
      <c r="H179" s="15"/>
      <c r="I179" s="15"/>
      <c r="J179" s="14"/>
      <c r="K179" s="15"/>
      <c r="L179" s="15"/>
      <c r="M179" s="14"/>
      <c r="N179" s="228"/>
      <c r="O179" s="14"/>
      <c r="P179" s="228"/>
      <c r="Q179" s="14"/>
      <c r="R179" s="228"/>
      <c r="S179" s="14"/>
      <c r="T179" s="352"/>
    </row>
    <row r="180" spans="2:20">
      <c r="B180" s="27" t="s">
        <v>424</v>
      </c>
      <c r="C180" s="27" t="s">
        <v>65</v>
      </c>
      <c r="D180" s="211" t="s">
        <v>67</v>
      </c>
      <c r="E180" s="25">
        <v>3838.95</v>
      </c>
      <c r="F180" s="212" t="s">
        <v>481</v>
      </c>
      <c r="G180" s="212"/>
      <c r="H180" s="157" t="str">
        <f>"R$ "&amp;E180</f>
        <v>R$ 3838,95</v>
      </c>
      <c r="I180" s="143" t="str">
        <f>B180&amp;"-"&amp;C180&amp;""&amp;D180&amp;"-"&amp;H180&amp;";"</f>
        <v>União- Dívida Ativa 91 2 94 000529-90-R$ 3838,95;</v>
      </c>
      <c r="J180" s="213"/>
      <c r="K180" s="157" t="str">
        <f>"R$ "&amp;H180</f>
        <v>R$ R$ 3838,95</v>
      </c>
      <c r="L180" s="143" t="str">
        <f>E180&amp;"-"&amp;F180&amp;""&amp;G180&amp;"-"&amp;K180&amp;";"</f>
        <v>3838,95-Fls. 280-286-R$ R$ 3838,95;</v>
      </c>
      <c r="M180" s="213"/>
      <c r="N180" s="229"/>
      <c r="O180" s="213"/>
      <c r="P180" s="229"/>
      <c r="Q180" s="213"/>
      <c r="R180" s="229"/>
      <c r="S180" s="213"/>
    </row>
    <row r="181" spans="2:20">
      <c r="B181" s="27" t="s">
        <v>424</v>
      </c>
      <c r="C181" s="27" t="s">
        <v>65</v>
      </c>
      <c r="D181" s="211" t="s">
        <v>68</v>
      </c>
      <c r="E181" s="25">
        <v>3033.36</v>
      </c>
      <c r="F181" s="212" t="s">
        <v>481</v>
      </c>
      <c r="G181" s="212"/>
      <c r="H181" s="157" t="str">
        <f t="shared" ref="H181:H244" si="2">"R$ "&amp;E181</f>
        <v>R$ 3033,36</v>
      </c>
      <c r="I181" s="143" t="str">
        <f t="shared" ref="I181:I244" si="3">B181&amp;"-"&amp;C181&amp;""&amp;D181&amp;"-"&amp;H181&amp;";"</f>
        <v>União- Dívida Ativa 91 5 94 000603-67-R$ 3033,36;</v>
      </c>
      <c r="J181" s="213"/>
      <c r="K181" s="157" t="str">
        <f t="shared" ref="K181:K244" si="4">"R$ "&amp;H181</f>
        <v>R$ R$ 3033,36</v>
      </c>
      <c r="L181" s="143" t="str">
        <f t="shared" ref="L181:L244" si="5">E181&amp;"-"&amp;F181&amp;""&amp;G181&amp;"-"&amp;K181&amp;";"</f>
        <v>3033,36-Fls. 280-286-R$ R$ 3033,36;</v>
      </c>
      <c r="M181" s="213"/>
      <c r="N181" s="229"/>
      <c r="O181" s="213"/>
      <c r="P181" s="229"/>
      <c r="Q181" s="213"/>
      <c r="R181" s="229"/>
      <c r="S181" s="213"/>
    </row>
    <row r="182" spans="2:20">
      <c r="B182" s="27" t="s">
        <v>424</v>
      </c>
      <c r="C182" s="27" t="s">
        <v>65</v>
      </c>
      <c r="D182" s="214" t="s">
        <v>69</v>
      </c>
      <c r="E182" s="25">
        <v>3033.36</v>
      </c>
      <c r="F182" s="212" t="s">
        <v>481</v>
      </c>
      <c r="G182" s="212"/>
      <c r="H182" s="157" t="str">
        <f t="shared" si="2"/>
        <v>R$ 3033,36</v>
      </c>
      <c r="I182" s="143" t="str">
        <f t="shared" si="3"/>
        <v>União- Dívida Ativa 91 5 94 000987-63-R$ 3033,36;</v>
      </c>
      <c r="J182" s="213"/>
      <c r="K182" s="157" t="str">
        <f t="shared" si="4"/>
        <v>R$ R$ 3033,36</v>
      </c>
      <c r="L182" s="143" t="str">
        <f t="shared" si="5"/>
        <v>3033,36-Fls. 280-286-R$ R$ 3033,36;</v>
      </c>
      <c r="M182" s="213"/>
      <c r="N182" s="229"/>
      <c r="O182" s="213"/>
      <c r="P182" s="229"/>
      <c r="Q182" s="213"/>
      <c r="R182" s="229"/>
      <c r="S182" s="213"/>
    </row>
    <row r="183" spans="2:20">
      <c r="B183" s="27" t="s">
        <v>424</v>
      </c>
      <c r="C183" s="27" t="s">
        <v>65</v>
      </c>
      <c r="D183" s="214" t="s">
        <v>70</v>
      </c>
      <c r="E183" s="25">
        <v>908.7</v>
      </c>
      <c r="F183" s="212" t="s">
        <v>481</v>
      </c>
      <c r="G183" s="212"/>
      <c r="H183" s="157" t="str">
        <f t="shared" si="2"/>
        <v>R$ 908,7</v>
      </c>
      <c r="I183" s="143" t="str">
        <f t="shared" si="3"/>
        <v>União- Dívida Ativa 91 6 93 000561-28-R$ 908,7;</v>
      </c>
      <c r="J183" s="213"/>
      <c r="K183" s="157" t="str">
        <f t="shared" si="4"/>
        <v>R$ R$ 908,7</v>
      </c>
      <c r="L183" s="143" t="str">
        <f t="shared" si="5"/>
        <v>908,7-Fls. 280-286-R$ R$ 908,7;</v>
      </c>
      <c r="M183" s="213"/>
      <c r="N183" s="229"/>
      <c r="O183" s="213"/>
      <c r="P183" s="229"/>
      <c r="Q183" s="213"/>
      <c r="R183" s="229"/>
      <c r="S183" s="213"/>
    </row>
    <row r="184" spans="2:20">
      <c r="B184" s="216" t="s">
        <v>424</v>
      </c>
      <c r="C184" s="216" t="s">
        <v>65</v>
      </c>
      <c r="D184" s="217" t="s">
        <v>71</v>
      </c>
      <c r="E184" s="218">
        <v>16838.64</v>
      </c>
      <c r="F184" s="219" t="s">
        <v>481</v>
      </c>
      <c r="G184" s="212"/>
      <c r="H184" s="157" t="str">
        <f t="shared" si="2"/>
        <v>R$ 16838,64</v>
      </c>
      <c r="I184" s="143" t="str">
        <f t="shared" si="3"/>
        <v>União- Dívida Ativa 91 6 94 000662-06-R$ 16838,64;</v>
      </c>
      <c r="J184" s="213"/>
      <c r="K184" s="157" t="str">
        <f t="shared" si="4"/>
        <v>R$ R$ 16838,64</v>
      </c>
      <c r="L184" s="143" t="str">
        <f t="shared" si="5"/>
        <v>16838,64-Fls. 280-286-R$ R$ 16838,64;</v>
      </c>
      <c r="M184" s="213"/>
      <c r="N184" s="229"/>
      <c r="O184" s="213"/>
      <c r="P184" s="229"/>
      <c r="Q184" s="213"/>
      <c r="R184" s="229"/>
      <c r="S184" s="213"/>
    </row>
    <row r="185" spans="2:20">
      <c r="B185" s="27" t="s">
        <v>424</v>
      </c>
      <c r="C185" s="27" t="s">
        <v>65</v>
      </c>
      <c r="D185" s="214" t="s">
        <v>74</v>
      </c>
      <c r="E185" s="25">
        <v>510.14</v>
      </c>
      <c r="F185" s="212" t="s">
        <v>481</v>
      </c>
      <c r="G185" s="212"/>
      <c r="H185" s="157" t="str">
        <f t="shared" si="2"/>
        <v>R$ 510,14</v>
      </c>
      <c r="I185" s="143" t="str">
        <f t="shared" si="3"/>
        <v>União- Dívida Ativa 91 6 97 030356-84-R$ 510,14;</v>
      </c>
      <c r="J185" s="213"/>
      <c r="K185" s="157" t="str">
        <f t="shared" si="4"/>
        <v>R$ R$ 510,14</v>
      </c>
      <c r="L185" s="143" t="str">
        <f t="shared" si="5"/>
        <v>510,14-Fls. 280-286-R$ R$ 510,14;</v>
      </c>
      <c r="M185" s="213"/>
      <c r="N185" s="229"/>
      <c r="O185" s="213"/>
      <c r="P185" s="229"/>
      <c r="Q185" s="213"/>
      <c r="R185" s="229"/>
      <c r="S185" s="213"/>
    </row>
    <row r="186" spans="2:20">
      <c r="B186" s="203" t="s">
        <v>424</v>
      </c>
      <c r="C186" s="203" t="s">
        <v>65</v>
      </c>
      <c r="D186" s="220" t="s">
        <v>86</v>
      </c>
      <c r="E186" s="187">
        <v>3355.15</v>
      </c>
      <c r="F186" s="221" t="s">
        <v>481</v>
      </c>
      <c r="G186" s="212"/>
      <c r="H186" s="157" t="str">
        <f t="shared" si="2"/>
        <v>R$ 3355,15</v>
      </c>
      <c r="I186" s="143" t="str">
        <f t="shared" si="3"/>
        <v>União- Dívida Ativa 91 6 97 030409-20-R$ 3355,15;</v>
      </c>
      <c r="J186" s="213"/>
      <c r="K186" s="157" t="str">
        <f t="shared" si="4"/>
        <v>R$ R$ 3355,15</v>
      </c>
      <c r="L186" s="143" t="str">
        <f t="shared" si="5"/>
        <v>3355,15-Fls. 280-286-R$ R$ 3355,15;</v>
      </c>
      <c r="M186" s="213"/>
      <c r="N186" s="229"/>
      <c r="O186" s="213"/>
      <c r="P186" s="229"/>
      <c r="Q186" s="213"/>
      <c r="R186" s="229"/>
      <c r="S186" s="213"/>
    </row>
    <row r="187" spans="2:20">
      <c r="B187" s="216" t="s">
        <v>424</v>
      </c>
      <c r="C187" s="216" t="s">
        <v>65</v>
      </c>
      <c r="D187" s="217" t="s">
        <v>93</v>
      </c>
      <c r="E187" s="218">
        <v>18484.2</v>
      </c>
      <c r="F187" s="219" t="s">
        <v>481</v>
      </c>
      <c r="G187" s="212"/>
      <c r="H187" s="157" t="str">
        <f t="shared" si="2"/>
        <v>R$ 18484,2</v>
      </c>
      <c r="I187" s="143" t="str">
        <f t="shared" si="3"/>
        <v>União- Dívida Ativa 91 6 94 000269-02-R$ 18484,2;</v>
      </c>
      <c r="J187" s="213"/>
      <c r="K187" s="157" t="str">
        <f t="shared" si="4"/>
        <v>R$ R$ 18484,2</v>
      </c>
      <c r="L187" s="143" t="str">
        <f t="shared" si="5"/>
        <v>18484,2-Fls. 280-286-R$ R$ 18484,2;</v>
      </c>
      <c r="M187" s="213"/>
      <c r="N187" s="229"/>
      <c r="O187" s="213"/>
      <c r="P187" s="229"/>
      <c r="Q187" s="213"/>
      <c r="R187" s="229"/>
      <c r="S187" s="213"/>
    </row>
    <row r="188" spans="2:20">
      <c r="B188" s="203" t="s">
        <v>424</v>
      </c>
      <c r="C188" s="203" t="s">
        <v>65</v>
      </c>
      <c r="D188" s="220">
        <v>316617202</v>
      </c>
      <c r="E188" s="187">
        <v>6903.6</v>
      </c>
      <c r="F188" s="204" t="s">
        <v>429</v>
      </c>
      <c r="G188" s="202"/>
      <c r="H188" s="157" t="str">
        <f t="shared" si="2"/>
        <v>R$ 6903,6</v>
      </c>
      <c r="I188" s="143" t="str">
        <f t="shared" si="3"/>
        <v>União- Dívida Ativa 316617202-R$ 6903,6;</v>
      </c>
      <c r="J188" s="215"/>
      <c r="K188" s="157" t="str">
        <f t="shared" si="4"/>
        <v>R$ R$ 6903,6</v>
      </c>
      <c r="L188" s="143" t="str">
        <f t="shared" si="5"/>
        <v>6903,6-Fls. 287-R$ R$ 6903,6;</v>
      </c>
      <c r="M188" s="215"/>
      <c r="N188" s="229"/>
      <c r="O188" s="215"/>
      <c r="P188" s="229"/>
      <c r="Q188" s="215"/>
      <c r="R188" s="229"/>
      <c r="S188" s="215"/>
    </row>
    <row r="189" spans="2:20">
      <c r="B189" s="203" t="s">
        <v>424</v>
      </c>
      <c r="C189" s="203" t="s">
        <v>65</v>
      </c>
      <c r="D189" s="220">
        <v>316617210</v>
      </c>
      <c r="E189" s="187">
        <v>2231.62</v>
      </c>
      <c r="F189" s="204" t="s">
        <v>429</v>
      </c>
      <c r="G189" s="202"/>
      <c r="H189" s="157" t="str">
        <f t="shared" si="2"/>
        <v>R$ 2231,62</v>
      </c>
      <c r="I189" s="143" t="str">
        <f t="shared" si="3"/>
        <v>União- Dívida Ativa 316617210-R$ 2231,62;</v>
      </c>
      <c r="J189" s="215"/>
      <c r="K189" s="157" t="str">
        <f t="shared" si="4"/>
        <v>R$ R$ 2231,62</v>
      </c>
      <c r="L189" s="143" t="str">
        <f t="shared" si="5"/>
        <v>2231,62-Fls. 287-R$ R$ 2231,62;</v>
      </c>
      <c r="M189" s="215"/>
      <c r="N189" s="229"/>
      <c r="O189" s="215"/>
      <c r="P189" s="229"/>
      <c r="Q189" s="215"/>
      <c r="R189" s="229"/>
      <c r="S189" s="215"/>
    </row>
    <row r="190" spans="2:20">
      <c r="B190" s="27" t="s">
        <v>425</v>
      </c>
      <c r="C190" s="27" t="s">
        <v>65</v>
      </c>
      <c r="D190" s="175">
        <v>1101000387</v>
      </c>
      <c r="E190" s="201">
        <v>61.22</v>
      </c>
      <c r="F190" s="202" t="s">
        <v>520</v>
      </c>
      <c r="G190" s="202"/>
      <c r="H190" s="157" t="str">
        <f t="shared" si="2"/>
        <v>R$ 61,22</v>
      </c>
      <c r="I190" s="143" t="str">
        <f t="shared" si="3"/>
        <v>Estado de Santa Catarina- Dívida Ativa 1101000387-R$ 61,22;</v>
      </c>
      <c r="J190" s="215"/>
      <c r="K190" s="157" t="str">
        <f t="shared" si="4"/>
        <v>R$ R$ 61,22</v>
      </c>
      <c r="L190" s="143" t="str">
        <f t="shared" si="5"/>
        <v>61,22-Ev. 480-R$ R$ 61,22;</v>
      </c>
      <c r="M190" s="215"/>
      <c r="N190" s="229"/>
      <c r="O190" s="215"/>
      <c r="P190" s="229"/>
      <c r="Q190" s="215"/>
      <c r="R190" s="229"/>
      <c r="S190" s="215"/>
    </row>
    <row r="191" spans="2:20">
      <c r="B191" s="27" t="s">
        <v>425</v>
      </c>
      <c r="C191" s="27" t="s">
        <v>65</v>
      </c>
      <c r="D191" s="175">
        <v>5101004787</v>
      </c>
      <c r="E191" s="201">
        <v>1728.76</v>
      </c>
      <c r="F191" s="202" t="s">
        <v>520</v>
      </c>
      <c r="G191" s="202"/>
      <c r="H191" s="157" t="str">
        <f t="shared" si="2"/>
        <v>R$ 1728,76</v>
      </c>
      <c r="I191" s="143" t="str">
        <f t="shared" si="3"/>
        <v>Estado de Santa Catarina- Dívida Ativa 5101004787-R$ 1728,76;</v>
      </c>
      <c r="J191" s="215"/>
      <c r="K191" s="157" t="str">
        <f t="shared" si="4"/>
        <v>R$ R$ 1728,76</v>
      </c>
      <c r="L191" s="143" t="str">
        <f t="shared" si="5"/>
        <v>1728,76-Ev. 480-R$ R$ 1728,76;</v>
      </c>
      <c r="M191" s="215"/>
      <c r="N191" s="229"/>
      <c r="O191" s="215"/>
      <c r="P191" s="229"/>
      <c r="Q191" s="215"/>
      <c r="R191" s="229"/>
      <c r="S191" s="215"/>
    </row>
    <row r="192" spans="2:20">
      <c r="B192" s="27" t="s">
        <v>425</v>
      </c>
      <c r="C192" s="27" t="s">
        <v>65</v>
      </c>
      <c r="D192" s="180">
        <v>5101005387</v>
      </c>
      <c r="E192" s="201">
        <v>3256.26</v>
      </c>
      <c r="F192" s="202" t="s">
        <v>520</v>
      </c>
      <c r="G192" s="202"/>
      <c r="H192" s="157" t="str">
        <f t="shared" si="2"/>
        <v>R$ 3256,26</v>
      </c>
      <c r="I192" s="143" t="str">
        <f t="shared" si="3"/>
        <v>Estado de Santa Catarina- Dívida Ativa 5101005387-R$ 3256,26;</v>
      </c>
      <c r="J192" s="215"/>
      <c r="K192" s="157" t="str">
        <f t="shared" si="4"/>
        <v>R$ R$ 3256,26</v>
      </c>
      <c r="L192" s="143" t="str">
        <f t="shared" si="5"/>
        <v>3256,26-Ev. 480-R$ R$ 3256,26;</v>
      </c>
      <c r="M192" s="215"/>
      <c r="N192" s="229"/>
      <c r="O192" s="215"/>
      <c r="P192" s="229"/>
      <c r="Q192" s="215"/>
      <c r="R192" s="229"/>
      <c r="S192" s="215"/>
    </row>
    <row r="193" spans="2:19">
      <c r="B193" s="27" t="s">
        <v>425</v>
      </c>
      <c r="C193" s="27" t="s">
        <v>65</v>
      </c>
      <c r="D193" s="180">
        <v>5101008787</v>
      </c>
      <c r="E193" s="201">
        <v>1601.73</v>
      </c>
      <c r="F193" s="202" t="s">
        <v>520</v>
      </c>
      <c r="G193" s="202"/>
      <c r="H193" s="157" t="str">
        <f t="shared" si="2"/>
        <v>R$ 1601,73</v>
      </c>
      <c r="I193" s="143" t="str">
        <f t="shared" si="3"/>
        <v>Estado de Santa Catarina- Dívida Ativa 5101008787-R$ 1601,73;</v>
      </c>
      <c r="J193" s="215"/>
      <c r="K193" s="157" t="str">
        <f t="shared" si="4"/>
        <v>R$ R$ 1601,73</v>
      </c>
      <c r="L193" s="143" t="str">
        <f t="shared" si="5"/>
        <v>1601,73-Ev. 480-R$ R$ 1601,73;</v>
      </c>
      <c r="M193" s="215"/>
      <c r="N193" s="229"/>
      <c r="O193" s="215"/>
      <c r="P193" s="229"/>
      <c r="Q193" s="215"/>
      <c r="R193" s="229"/>
      <c r="S193" s="215"/>
    </row>
    <row r="194" spans="2:19">
      <c r="B194" s="27" t="s">
        <v>425</v>
      </c>
      <c r="C194" s="27" t="s">
        <v>65</v>
      </c>
      <c r="D194" s="180">
        <v>5101013587</v>
      </c>
      <c r="E194" s="201">
        <v>1209.56</v>
      </c>
      <c r="F194" s="202" t="s">
        <v>520</v>
      </c>
      <c r="G194" s="202"/>
      <c r="H194" s="157" t="str">
        <f t="shared" si="2"/>
        <v>R$ 1209,56</v>
      </c>
      <c r="I194" s="143" t="str">
        <f t="shared" si="3"/>
        <v>Estado de Santa Catarina- Dívida Ativa 5101013587-R$ 1209,56;</v>
      </c>
      <c r="J194" s="215"/>
      <c r="K194" s="157" t="str">
        <f t="shared" si="4"/>
        <v>R$ R$ 1209,56</v>
      </c>
      <c r="L194" s="143" t="str">
        <f t="shared" si="5"/>
        <v>1209,56-Ev. 480-R$ R$ 1209,56;</v>
      </c>
      <c r="M194" s="215"/>
      <c r="N194" s="229"/>
      <c r="O194" s="215"/>
      <c r="P194" s="229"/>
      <c r="Q194" s="215"/>
      <c r="R194" s="229"/>
      <c r="S194" s="215"/>
    </row>
    <row r="195" spans="2:19">
      <c r="B195" s="27" t="s">
        <v>425</v>
      </c>
      <c r="C195" s="27" t="s">
        <v>65</v>
      </c>
      <c r="D195" s="180">
        <v>5101004187</v>
      </c>
      <c r="E195" s="201">
        <v>7938.91</v>
      </c>
      <c r="F195" s="202" t="s">
        <v>520</v>
      </c>
      <c r="G195" s="202"/>
      <c r="H195" s="157" t="str">
        <f t="shared" si="2"/>
        <v>R$ 7938,91</v>
      </c>
      <c r="I195" s="143" t="str">
        <f t="shared" si="3"/>
        <v>Estado de Santa Catarina- Dívida Ativa 5101004187-R$ 7938,91;</v>
      </c>
      <c r="J195" s="215"/>
      <c r="K195" s="157" t="str">
        <f t="shared" si="4"/>
        <v>R$ R$ 7938,91</v>
      </c>
      <c r="L195" s="143" t="str">
        <f t="shared" si="5"/>
        <v>7938,91-Ev. 480-R$ R$ 7938,91;</v>
      </c>
      <c r="M195" s="215"/>
      <c r="N195" s="229"/>
      <c r="O195" s="215"/>
      <c r="P195" s="229"/>
      <c r="Q195" s="215"/>
      <c r="R195" s="229"/>
      <c r="S195" s="215"/>
    </row>
    <row r="196" spans="2:19">
      <c r="B196" s="27" t="s">
        <v>425</v>
      </c>
      <c r="C196" s="27" t="s">
        <v>65</v>
      </c>
      <c r="D196" s="180">
        <v>5101004687</v>
      </c>
      <c r="E196" s="201">
        <v>10326.4</v>
      </c>
      <c r="F196" s="202" t="s">
        <v>520</v>
      </c>
      <c r="G196" s="202"/>
      <c r="H196" s="157" t="str">
        <f t="shared" si="2"/>
        <v>R$ 10326,4</v>
      </c>
      <c r="I196" s="143" t="str">
        <f t="shared" si="3"/>
        <v>Estado de Santa Catarina- Dívida Ativa 5101004687-R$ 10326,4;</v>
      </c>
      <c r="J196" s="215"/>
      <c r="K196" s="157" t="str">
        <f t="shared" si="4"/>
        <v>R$ R$ 10326,4</v>
      </c>
      <c r="L196" s="143" t="str">
        <f t="shared" si="5"/>
        <v>10326,4-Ev. 480-R$ R$ 10326,4;</v>
      </c>
      <c r="M196" s="215"/>
      <c r="N196" s="229"/>
      <c r="O196" s="215"/>
      <c r="P196" s="229"/>
      <c r="Q196" s="215"/>
      <c r="R196" s="229"/>
      <c r="S196" s="215"/>
    </row>
    <row r="197" spans="2:19">
      <c r="B197" s="27" t="s">
        <v>425</v>
      </c>
      <c r="C197" s="27" t="s">
        <v>65</v>
      </c>
      <c r="D197" s="180">
        <v>5101005487</v>
      </c>
      <c r="E197" s="201">
        <v>4584.76</v>
      </c>
      <c r="F197" s="202" t="s">
        <v>520</v>
      </c>
      <c r="G197" s="202"/>
      <c r="H197" s="157" t="str">
        <f t="shared" si="2"/>
        <v>R$ 4584,76</v>
      </c>
      <c r="I197" s="143" t="str">
        <f t="shared" si="3"/>
        <v>Estado de Santa Catarina- Dívida Ativa 5101005487-R$ 4584,76;</v>
      </c>
      <c r="J197" s="215"/>
      <c r="K197" s="157" t="str">
        <f t="shared" si="4"/>
        <v>R$ R$ 4584,76</v>
      </c>
      <c r="L197" s="143" t="str">
        <f t="shared" si="5"/>
        <v>4584,76-Ev. 480-R$ R$ 4584,76;</v>
      </c>
      <c r="M197" s="215"/>
      <c r="N197" s="229"/>
      <c r="O197" s="215"/>
      <c r="P197" s="229"/>
      <c r="Q197" s="215"/>
      <c r="R197" s="229"/>
      <c r="S197" s="215"/>
    </row>
    <row r="198" spans="2:19">
      <c r="B198" s="27" t="s">
        <v>425</v>
      </c>
      <c r="C198" s="27" t="s">
        <v>65</v>
      </c>
      <c r="D198" s="180">
        <v>5101008687</v>
      </c>
      <c r="E198" s="201">
        <v>3608.01</v>
      </c>
      <c r="F198" s="202" t="s">
        <v>520</v>
      </c>
      <c r="G198" s="202"/>
      <c r="H198" s="157" t="str">
        <f t="shared" si="2"/>
        <v>R$ 3608,01</v>
      </c>
      <c r="I198" s="143" t="str">
        <f t="shared" si="3"/>
        <v>Estado de Santa Catarina- Dívida Ativa 5101008687-R$ 3608,01;</v>
      </c>
      <c r="J198" s="215"/>
      <c r="K198" s="157" t="str">
        <f t="shared" si="4"/>
        <v>R$ R$ 3608,01</v>
      </c>
      <c r="L198" s="143" t="str">
        <f t="shared" si="5"/>
        <v>3608,01-Ev. 480-R$ R$ 3608,01;</v>
      </c>
      <c r="M198" s="215"/>
      <c r="N198" s="229"/>
      <c r="O198" s="215"/>
      <c r="P198" s="229"/>
      <c r="Q198" s="215"/>
      <c r="R198" s="229"/>
      <c r="S198" s="215"/>
    </row>
    <row r="199" spans="2:19">
      <c r="B199" s="27" t="s">
        <v>425</v>
      </c>
      <c r="C199" s="27" t="s">
        <v>65</v>
      </c>
      <c r="D199" s="180">
        <v>5101014087</v>
      </c>
      <c r="E199" s="201">
        <v>2900.29</v>
      </c>
      <c r="F199" s="202" t="s">
        <v>520</v>
      </c>
      <c r="G199" s="202"/>
      <c r="H199" s="157" t="str">
        <f t="shared" si="2"/>
        <v>R$ 2900,29</v>
      </c>
      <c r="I199" s="143" t="str">
        <f t="shared" si="3"/>
        <v>Estado de Santa Catarina- Dívida Ativa 5101014087-R$ 2900,29;</v>
      </c>
      <c r="J199" s="215"/>
      <c r="K199" s="157" t="str">
        <f t="shared" si="4"/>
        <v>R$ R$ 2900,29</v>
      </c>
      <c r="L199" s="143" t="str">
        <f t="shared" si="5"/>
        <v>2900,29-Ev. 480-R$ R$ 2900,29;</v>
      </c>
      <c r="M199" s="215"/>
      <c r="N199" s="229"/>
      <c r="O199" s="215"/>
      <c r="P199" s="229"/>
      <c r="Q199" s="215"/>
      <c r="R199" s="229"/>
      <c r="S199" s="215"/>
    </row>
    <row r="200" spans="2:19">
      <c r="B200" s="27" t="s">
        <v>425</v>
      </c>
      <c r="C200" s="27" t="s">
        <v>65</v>
      </c>
      <c r="D200" s="180">
        <v>5101743887</v>
      </c>
      <c r="E200" s="201">
        <v>47361.03</v>
      </c>
      <c r="F200" s="202" t="s">
        <v>520</v>
      </c>
      <c r="G200" s="202"/>
      <c r="H200" s="157" t="str">
        <f t="shared" si="2"/>
        <v>R$ 47361,03</v>
      </c>
      <c r="I200" s="143" t="str">
        <f t="shared" si="3"/>
        <v>Estado de Santa Catarina- Dívida Ativa 5101743887-R$ 47361,03;</v>
      </c>
      <c r="J200" s="215"/>
      <c r="K200" s="157" t="str">
        <f t="shared" si="4"/>
        <v>R$ R$ 47361,03</v>
      </c>
      <c r="L200" s="143" t="str">
        <f t="shared" si="5"/>
        <v>47361,03-Ev. 480-R$ R$ 47361,03;</v>
      </c>
      <c r="M200" s="215"/>
      <c r="N200" s="229"/>
      <c r="O200" s="215"/>
      <c r="P200" s="229"/>
      <c r="Q200" s="215"/>
      <c r="R200" s="229"/>
      <c r="S200" s="215"/>
    </row>
    <row r="201" spans="2:19">
      <c r="B201" s="27" t="s">
        <v>425</v>
      </c>
      <c r="C201" s="27" t="s">
        <v>65</v>
      </c>
      <c r="D201" s="180">
        <v>2101317567</v>
      </c>
      <c r="E201" s="201">
        <v>21634.85</v>
      </c>
      <c r="F201" s="202" t="s">
        <v>520</v>
      </c>
      <c r="G201" s="202"/>
      <c r="H201" s="157" t="str">
        <f t="shared" si="2"/>
        <v>R$ 21634,85</v>
      </c>
      <c r="I201" s="143" t="str">
        <f t="shared" si="3"/>
        <v>Estado de Santa Catarina- Dívida Ativa 2101317567-R$ 21634,85;</v>
      </c>
      <c r="J201" s="215"/>
      <c r="K201" s="157" t="str">
        <f t="shared" si="4"/>
        <v>R$ R$ 21634,85</v>
      </c>
      <c r="L201" s="143" t="str">
        <f t="shared" si="5"/>
        <v>21634,85-Ev. 480-R$ R$ 21634,85;</v>
      </c>
      <c r="M201" s="215"/>
      <c r="N201" s="229"/>
      <c r="O201" s="215"/>
      <c r="P201" s="229"/>
      <c r="Q201" s="215"/>
      <c r="R201" s="229"/>
      <c r="S201" s="215"/>
    </row>
    <row r="202" spans="2:19">
      <c r="B202" s="27" t="s">
        <v>425</v>
      </c>
      <c r="C202" s="27" t="s">
        <v>65</v>
      </c>
      <c r="D202" s="180">
        <v>5101002987</v>
      </c>
      <c r="E202" s="201">
        <v>12749.27</v>
      </c>
      <c r="F202" s="202" t="s">
        <v>520</v>
      </c>
      <c r="G202" s="202"/>
      <c r="H202" s="157" t="str">
        <f t="shared" si="2"/>
        <v>R$ 12749,27</v>
      </c>
      <c r="I202" s="143" t="str">
        <f t="shared" si="3"/>
        <v>Estado de Santa Catarina- Dívida Ativa 5101002987-R$ 12749,27;</v>
      </c>
      <c r="J202" s="215"/>
      <c r="K202" s="157" t="str">
        <f t="shared" si="4"/>
        <v>R$ R$ 12749,27</v>
      </c>
      <c r="L202" s="143" t="str">
        <f t="shared" si="5"/>
        <v>12749,27-Ev. 480-R$ R$ 12749,27;</v>
      </c>
      <c r="M202" s="215"/>
      <c r="N202" s="229"/>
      <c r="O202" s="215"/>
      <c r="P202" s="229"/>
      <c r="Q202" s="215"/>
      <c r="R202" s="229"/>
      <c r="S202" s="215"/>
    </row>
    <row r="203" spans="2:19">
      <c r="B203" s="27" t="s">
        <v>425</v>
      </c>
      <c r="C203" s="27" t="s">
        <v>65</v>
      </c>
      <c r="D203" s="180">
        <v>5101003187</v>
      </c>
      <c r="E203" s="201">
        <v>234.86</v>
      </c>
      <c r="F203" s="202" t="s">
        <v>520</v>
      </c>
      <c r="G203" s="202"/>
      <c r="H203" s="157" t="str">
        <f t="shared" si="2"/>
        <v>R$ 234,86</v>
      </c>
      <c r="I203" s="143" t="str">
        <f t="shared" si="3"/>
        <v>Estado de Santa Catarina- Dívida Ativa 5101003187-R$ 234,86;</v>
      </c>
      <c r="J203" s="215"/>
      <c r="K203" s="157" t="str">
        <f t="shared" si="4"/>
        <v>R$ R$ 234,86</v>
      </c>
      <c r="L203" s="143" t="str">
        <f t="shared" si="5"/>
        <v>234,86-Ev. 480-R$ R$ 234,86;</v>
      </c>
      <c r="M203" s="215"/>
      <c r="N203" s="229"/>
      <c r="O203" s="215"/>
      <c r="P203" s="229"/>
      <c r="Q203" s="215"/>
      <c r="R203" s="229"/>
      <c r="S203" s="215"/>
    </row>
    <row r="204" spans="2:19">
      <c r="B204" s="27" t="s">
        <v>425</v>
      </c>
      <c r="C204" s="27" t="s">
        <v>65</v>
      </c>
      <c r="D204" s="180">
        <v>5101005587</v>
      </c>
      <c r="E204" s="201">
        <v>6739.54</v>
      </c>
      <c r="F204" s="202" t="s">
        <v>520</v>
      </c>
      <c r="G204" s="202"/>
      <c r="H204" s="157" t="str">
        <f t="shared" si="2"/>
        <v>R$ 6739,54</v>
      </c>
      <c r="I204" s="143" t="str">
        <f t="shared" si="3"/>
        <v>Estado de Santa Catarina- Dívida Ativa 5101005587-R$ 6739,54;</v>
      </c>
      <c r="J204" s="215"/>
      <c r="K204" s="157" t="str">
        <f t="shared" si="4"/>
        <v>R$ R$ 6739,54</v>
      </c>
      <c r="L204" s="143" t="str">
        <f t="shared" si="5"/>
        <v>6739,54-Ev. 480-R$ R$ 6739,54;</v>
      </c>
      <c r="M204" s="215"/>
      <c r="N204" s="229"/>
      <c r="O204" s="215"/>
      <c r="P204" s="229"/>
      <c r="Q204" s="215"/>
      <c r="R204" s="229"/>
      <c r="S204" s="215"/>
    </row>
    <row r="205" spans="2:19">
      <c r="B205" s="27" t="s">
        <v>425</v>
      </c>
      <c r="C205" s="27" t="s">
        <v>65</v>
      </c>
      <c r="D205" s="180">
        <v>5101008987</v>
      </c>
      <c r="E205" s="201">
        <v>3269.01</v>
      </c>
      <c r="F205" s="202" t="s">
        <v>520</v>
      </c>
      <c r="G205" s="202"/>
      <c r="H205" s="157" t="str">
        <f t="shared" si="2"/>
        <v>R$ 3269,01</v>
      </c>
      <c r="I205" s="143" t="str">
        <f t="shared" si="3"/>
        <v>Estado de Santa Catarina- Dívida Ativa 5101008987-R$ 3269,01;</v>
      </c>
      <c r="J205" s="215"/>
      <c r="K205" s="157" t="str">
        <f t="shared" si="4"/>
        <v>R$ R$ 3269,01</v>
      </c>
      <c r="L205" s="143" t="str">
        <f t="shared" si="5"/>
        <v>3269,01-Ev. 480-R$ R$ 3269,01;</v>
      </c>
      <c r="M205" s="215"/>
      <c r="N205" s="229"/>
      <c r="O205" s="215"/>
      <c r="P205" s="229"/>
      <c r="Q205" s="215"/>
      <c r="R205" s="229"/>
      <c r="S205" s="215"/>
    </row>
    <row r="206" spans="2:19">
      <c r="B206" s="27" t="s">
        <v>425</v>
      </c>
      <c r="C206" s="27" t="s">
        <v>65</v>
      </c>
      <c r="D206" s="180">
        <v>5101013987</v>
      </c>
      <c r="E206" s="201">
        <v>1622.36</v>
      </c>
      <c r="F206" s="202" t="s">
        <v>520</v>
      </c>
      <c r="G206" s="202"/>
      <c r="H206" s="157" t="str">
        <f t="shared" si="2"/>
        <v>R$ 1622,36</v>
      </c>
      <c r="I206" s="143" t="str">
        <f t="shared" si="3"/>
        <v>Estado de Santa Catarina- Dívida Ativa 5101013987-R$ 1622,36;</v>
      </c>
      <c r="J206" s="215"/>
      <c r="K206" s="157" t="str">
        <f t="shared" si="4"/>
        <v>R$ R$ 1622,36</v>
      </c>
      <c r="L206" s="143" t="str">
        <f t="shared" si="5"/>
        <v>1622,36-Ev. 480-R$ R$ 1622,36;</v>
      </c>
      <c r="M206" s="215"/>
      <c r="N206" s="229"/>
      <c r="O206" s="215"/>
      <c r="P206" s="229"/>
      <c r="Q206" s="215"/>
      <c r="R206" s="229"/>
      <c r="S206" s="215"/>
    </row>
    <row r="207" spans="2:19">
      <c r="B207" s="27" t="s">
        <v>425</v>
      </c>
      <c r="C207" s="27" t="s">
        <v>65</v>
      </c>
      <c r="D207" s="180">
        <v>5101005887</v>
      </c>
      <c r="E207" s="201">
        <v>1181.74</v>
      </c>
      <c r="F207" s="202" t="s">
        <v>520</v>
      </c>
      <c r="G207" s="202"/>
      <c r="H207" s="157" t="str">
        <f t="shared" si="2"/>
        <v>R$ 1181,74</v>
      </c>
      <c r="I207" s="143" t="str">
        <f t="shared" si="3"/>
        <v>Estado de Santa Catarina- Dívida Ativa 5101005887-R$ 1181,74;</v>
      </c>
      <c r="J207" s="215"/>
      <c r="K207" s="157" t="str">
        <f t="shared" si="4"/>
        <v>R$ R$ 1181,74</v>
      </c>
      <c r="L207" s="143" t="str">
        <f t="shared" si="5"/>
        <v>1181,74-Ev. 480-R$ R$ 1181,74;</v>
      </c>
      <c r="M207" s="215"/>
      <c r="N207" s="229"/>
      <c r="O207" s="215"/>
      <c r="P207" s="229"/>
      <c r="Q207" s="215"/>
      <c r="R207" s="229"/>
      <c r="S207" s="215"/>
    </row>
    <row r="208" spans="2:19">
      <c r="B208" s="27" t="s">
        <v>425</v>
      </c>
      <c r="C208" s="27" t="s">
        <v>65</v>
      </c>
      <c r="D208" s="180">
        <v>5101008887</v>
      </c>
      <c r="E208" s="201">
        <v>1340.47</v>
      </c>
      <c r="F208" s="202" t="s">
        <v>520</v>
      </c>
      <c r="G208" s="202"/>
      <c r="H208" s="157" t="str">
        <f t="shared" si="2"/>
        <v>R$ 1340,47</v>
      </c>
      <c r="I208" s="143" t="str">
        <f t="shared" si="3"/>
        <v>Estado de Santa Catarina- Dívida Ativa 5101008887-R$ 1340,47;</v>
      </c>
      <c r="J208" s="215"/>
      <c r="K208" s="157" t="str">
        <f t="shared" si="4"/>
        <v>R$ R$ 1340,47</v>
      </c>
      <c r="L208" s="143" t="str">
        <f t="shared" si="5"/>
        <v>1340,47-Ev. 480-R$ R$ 1340,47;</v>
      </c>
      <c r="M208" s="215"/>
      <c r="N208" s="229"/>
      <c r="O208" s="215"/>
      <c r="P208" s="229"/>
      <c r="Q208" s="215"/>
      <c r="R208" s="229"/>
      <c r="S208" s="215"/>
    </row>
    <row r="209" spans="2:19">
      <c r="B209" s="27" t="s">
        <v>425</v>
      </c>
      <c r="C209" s="27" t="s">
        <v>65</v>
      </c>
      <c r="D209" s="180">
        <v>5101013887</v>
      </c>
      <c r="E209" s="201">
        <v>309.48</v>
      </c>
      <c r="F209" s="202" t="s">
        <v>520</v>
      </c>
      <c r="G209" s="202"/>
      <c r="H209" s="157" t="str">
        <f t="shared" si="2"/>
        <v>R$ 309,48</v>
      </c>
      <c r="I209" s="143" t="str">
        <f t="shared" si="3"/>
        <v>Estado de Santa Catarina- Dívida Ativa 5101013887-R$ 309,48;</v>
      </c>
      <c r="J209" s="215"/>
      <c r="K209" s="157" t="str">
        <f t="shared" si="4"/>
        <v>R$ R$ 309,48</v>
      </c>
      <c r="L209" s="143" t="str">
        <f t="shared" si="5"/>
        <v>309,48-Ev. 480-R$ R$ 309,48;</v>
      </c>
      <c r="M209" s="215"/>
      <c r="N209" s="229"/>
      <c r="O209" s="215"/>
      <c r="P209" s="229"/>
      <c r="Q209" s="215"/>
      <c r="R209" s="229"/>
      <c r="S209" s="215"/>
    </row>
    <row r="210" spans="2:19">
      <c r="B210" s="27" t="s">
        <v>425</v>
      </c>
      <c r="C210" s="27" t="s">
        <v>65</v>
      </c>
      <c r="D210" s="180">
        <v>5101743968</v>
      </c>
      <c r="E210" s="201">
        <v>2186.29</v>
      </c>
      <c r="F210" s="202" t="s">
        <v>520</v>
      </c>
      <c r="G210" s="202"/>
      <c r="H210" s="157" t="str">
        <f t="shared" si="2"/>
        <v>R$ 2186,29</v>
      </c>
      <c r="I210" s="143" t="str">
        <f t="shared" si="3"/>
        <v>Estado de Santa Catarina- Dívida Ativa 5101743968-R$ 2186,29;</v>
      </c>
      <c r="J210" s="215"/>
      <c r="K210" s="157" t="str">
        <f t="shared" si="4"/>
        <v>R$ R$ 2186,29</v>
      </c>
      <c r="L210" s="143" t="str">
        <f t="shared" si="5"/>
        <v>2186,29-Ev. 480-R$ R$ 2186,29;</v>
      </c>
      <c r="M210" s="215"/>
      <c r="N210" s="229"/>
      <c r="O210" s="215"/>
      <c r="P210" s="229"/>
      <c r="Q210" s="215"/>
      <c r="R210" s="229"/>
      <c r="S210" s="215"/>
    </row>
    <row r="211" spans="2:19">
      <c r="B211" s="27" t="s">
        <v>425</v>
      </c>
      <c r="C211" s="27" t="s">
        <v>65</v>
      </c>
      <c r="D211" s="180">
        <v>1101001288</v>
      </c>
      <c r="E211" s="201">
        <v>16013.43</v>
      </c>
      <c r="F211" s="202" t="s">
        <v>520</v>
      </c>
      <c r="G211" s="202"/>
      <c r="H211" s="157" t="str">
        <f t="shared" si="2"/>
        <v>R$ 16013,43</v>
      </c>
      <c r="I211" s="143" t="str">
        <f t="shared" si="3"/>
        <v>Estado de Santa Catarina- Dívida Ativa 1101001288-R$ 16013,43;</v>
      </c>
      <c r="J211" s="215"/>
      <c r="K211" s="157" t="str">
        <f t="shared" si="4"/>
        <v>R$ R$ 16013,43</v>
      </c>
      <c r="L211" s="143" t="str">
        <f t="shared" si="5"/>
        <v>16013,43-Ev. 480-R$ R$ 16013,43;</v>
      </c>
      <c r="M211" s="215"/>
      <c r="N211" s="229"/>
      <c r="O211" s="215"/>
      <c r="P211" s="229"/>
      <c r="Q211" s="215"/>
      <c r="R211" s="229"/>
      <c r="S211" s="215"/>
    </row>
    <row r="212" spans="2:19">
      <c r="B212" s="207" t="s">
        <v>425</v>
      </c>
      <c r="C212" s="207" t="s">
        <v>65</v>
      </c>
      <c r="D212" s="214">
        <v>1101005491</v>
      </c>
      <c r="E212" s="201">
        <v>282.94</v>
      </c>
      <c r="F212" s="202" t="s">
        <v>520</v>
      </c>
      <c r="G212" s="202"/>
      <c r="H212" s="157" t="str">
        <f t="shared" si="2"/>
        <v>R$ 282,94</v>
      </c>
      <c r="I212" s="143" t="str">
        <f t="shared" si="3"/>
        <v>Estado de Santa Catarina- Dívida Ativa 1101005491-R$ 282,94;</v>
      </c>
      <c r="J212" s="215"/>
      <c r="K212" s="157" t="str">
        <f t="shared" si="4"/>
        <v>R$ R$ 282,94</v>
      </c>
      <c r="L212" s="143" t="str">
        <f t="shared" si="5"/>
        <v>282,94-Ev. 480-R$ R$ 282,94;</v>
      </c>
      <c r="M212" s="215"/>
      <c r="N212" s="229"/>
      <c r="O212" s="215"/>
      <c r="P212" s="229"/>
      <c r="Q212" s="215"/>
      <c r="R212" s="229"/>
      <c r="S212" s="215"/>
    </row>
    <row r="213" spans="2:19">
      <c r="B213" s="27" t="s">
        <v>425</v>
      </c>
      <c r="C213" s="27" t="s">
        <v>65</v>
      </c>
      <c r="D213" s="180">
        <v>5101004087</v>
      </c>
      <c r="E213" s="201">
        <v>1456.76</v>
      </c>
      <c r="F213" s="202" t="s">
        <v>520</v>
      </c>
      <c r="G213" s="202"/>
      <c r="H213" s="157" t="str">
        <f t="shared" si="2"/>
        <v>R$ 1456,76</v>
      </c>
      <c r="I213" s="143" t="str">
        <f t="shared" si="3"/>
        <v>Estado de Santa Catarina- Dívida Ativa 5101004087-R$ 1456,76;</v>
      </c>
      <c r="J213" s="215"/>
      <c r="K213" s="157" t="str">
        <f t="shared" si="4"/>
        <v>R$ R$ 1456,76</v>
      </c>
      <c r="L213" s="143" t="str">
        <f t="shared" si="5"/>
        <v>1456,76-Ev. 480-R$ R$ 1456,76;</v>
      </c>
      <c r="M213" s="215"/>
      <c r="N213" s="229"/>
      <c r="O213" s="215"/>
      <c r="P213" s="229"/>
      <c r="Q213" s="215"/>
      <c r="R213" s="229"/>
      <c r="S213" s="215"/>
    </row>
    <row r="214" spans="2:19">
      <c r="B214" s="27" t="s">
        <v>425</v>
      </c>
      <c r="C214" s="27" t="s">
        <v>65</v>
      </c>
      <c r="D214" s="180">
        <v>5101004587</v>
      </c>
      <c r="E214" s="201">
        <v>3409.26</v>
      </c>
      <c r="F214" s="202" t="s">
        <v>520</v>
      </c>
      <c r="G214" s="202"/>
      <c r="H214" s="157" t="str">
        <f t="shared" si="2"/>
        <v>R$ 3409,26</v>
      </c>
      <c r="I214" s="143" t="str">
        <f t="shared" si="3"/>
        <v>Estado de Santa Catarina- Dívida Ativa 5101004587-R$ 3409,26;</v>
      </c>
      <c r="J214" s="215"/>
      <c r="K214" s="157" t="str">
        <f t="shared" si="4"/>
        <v>R$ R$ 3409,26</v>
      </c>
      <c r="L214" s="143" t="str">
        <f t="shared" si="5"/>
        <v>3409,26-Ev. 480-R$ R$ 3409,26;</v>
      </c>
      <c r="M214" s="215"/>
      <c r="N214" s="229"/>
      <c r="O214" s="215"/>
      <c r="P214" s="229"/>
      <c r="Q214" s="215"/>
      <c r="R214" s="229"/>
      <c r="S214" s="215"/>
    </row>
    <row r="215" spans="2:19">
      <c r="B215" s="27" t="s">
        <v>425</v>
      </c>
      <c r="C215" s="27" t="s">
        <v>65</v>
      </c>
      <c r="D215" s="180">
        <v>5101005287</v>
      </c>
      <c r="E215" s="201">
        <v>1453.39</v>
      </c>
      <c r="F215" s="202" t="s">
        <v>520</v>
      </c>
      <c r="G215" s="202"/>
      <c r="H215" s="157" t="str">
        <f t="shared" si="2"/>
        <v>R$ 1453,39</v>
      </c>
      <c r="I215" s="143" t="str">
        <f t="shared" si="3"/>
        <v>Estado de Santa Catarina- Dívida Ativa 5101005287-R$ 1453,39;</v>
      </c>
      <c r="J215" s="215"/>
      <c r="K215" s="157" t="str">
        <f t="shared" si="4"/>
        <v>R$ R$ 1453,39</v>
      </c>
      <c r="L215" s="143" t="str">
        <f t="shared" si="5"/>
        <v>1453,39-Ev. 480-R$ R$ 1453,39;</v>
      </c>
      <c r="M215" s="215"/>
      <c r="N215" s="229"/>
      <c r="O215" s="215"/>
      <c r="P215" s="229"/>
      <c r="Q215" s="215"/>
      <c r="R215" s="229"/>
      <c r="S215" s="215"/>
    </row>
    <row r="216" spans="2:19">
      <c r="B216" s="27" t="s">
        <v>425</v>
      </c>
      <c r="C216" s="27" t="s">
        <v>65</v>
      </c>
      <c r="D216" s="180">
        <v>5101009087</v>
      </c>
      <c r="E216" s="201">
        <v>1434.07</v>
      </c>
      <c r="F216" s="202" t="s">
        <v>520</v>
      </c>
      <c r="G216" s="202"/>
      <c r="H216" s="157" t="str">
        <f t="shared" si="2"/>
        <v>R$ 1434,07</v>
      </c>
      <c r="I216" s="143" t="str">
        <f t="shared" si="3"/>
        <v>Estado de Santa Catarina- Dívida Ativa 5101009087-R$ 1434,07;</v>
      </c>
      <c r="J216" s="215"/>
      <c r="K216" s="157" t="str">
        <f t="shared" si="4"/>
        <v>R$ R$ 1434,07</v>
      </c>
      <c r="L216" s="143" t="str">
        <f t="shared" si="5"/>
        <v>1434,07-Ev. 480-R$ R$ 1434,07;</v>
      </c>
      <c r="M216" s="215"/>
      <c r="N216" s="229"/>
      <c r="O216" s="215"/>
      <c r="P216" s="229"/>
      <c r="Q216" s="215"/>
      <c r="R216" s="229"/>
      <c r="S216" s="215"/>
    </row>
    <row r="217" spans="2:19">
      <c r="B217" s="27" t="s">
        <v>425</v>
      </c>
      <c r="C217" s="27" t="s">
        <v>65</v>
      </c>
      <c r="D217" s="180">
        <v>5101014187</v>
      </c>
      <c r="E217" s="201">
        <v>1000.65</v>
      </c>
      <c r="F217" s="202" t="s">
        <v>520</v>
      </c>
      <c r="G217" s="202"/>
      <c r="H217" s="157" t="str">
        <f t="shared" si="2"/>
        <v>R$ 1000,65</v>
      </c>
      <c r="I217" s="143" t="str">
        <f t="shared" si="3"/>
        <v>Estado de Santa Catarina- Dívida Ativa 5101014187-R$ 1000,65;</v>
      </c>
      <c r="J217" s="215"/>
      <c r="K217" s="157" t="str">
        <f t="shared" si="4"/>
        <v>R$ R$ 1000,65</v>
      </c>
      <c r="L217" s="143" t="str">
        <f t="shared" si="5"/>
        <v>1000,65-Ev. 480-R$ R$ 1000,65;</v>
      </c>
      <c r="M217" s="215"/>
      <c r="N217" s="229"/>
      <c r="O217" s="215"/>
      <c r="P217" s="229"/>
      <c r="Q217" s="215"/>
      <c r="R217" s="229"/>
      <c r="S217" s="215"/>
    </row>
    <row r="218" spans="2:19">
      <c r="B218" s="27" t="s">
        <v>425</v>
      </c>
      <c r="C218" s="27" t="s">
        <v>65</v>
      </c>
      <c r="D218" s="180">
        <v>5101004487</v>
      </c>
      <c r="E218" s="201">
        <v>2445.58</v>
      </c>
      <c r="F218" s="202" t="s">
        <v>520</v>
      </c>
      <c r="G218" s="202"/>
      <c r="H218" s="157" t="str">
        <f t="shared" si="2"/>
        <v>R$ 2445,58</v>
      </c>
      <c r="I218" s="143" t="str">
        <f t="shared" si="3"/>
        <v>Estado de Santa Catarina- Dívida Ativa 5101004487-R$ 2445,58;</v>
      </c>
      <c r="J218" s="215"/>
      <c r="K218" s="157" t="str">
        <f t="shared" si="4"/>
        <v>R$ R$ 2445,58</v>
      </c>
      <c r="L218" s="143" t="str">
        <f t="shared" si="5"/>
        <v>2445,58-Ev. 480-R$ R$ 2445,58;</v>
      </c>
      <c r="M218" s="215"/>
      <c r="N218" s="229"/>
      <c r="O218" s="215"/>
      <c r="P218" s="229"/>
      <c r="Q218" s="215"/>
      <c r="R218" s="229"/>
      <c r="S218" s="215"/>
    </row>
    <row r="219" spans="2:19">
      <c r="B219" s="27" t="s">
        <v>425</v>
      </c>
      <c r="C219" s="27" t="s">
        <v>65</v>
      </c>
      <c r="D219" s="180">
        <v>5101003687</v>
      </c>
      <c r="E219" s="201">
        <v>363.84</v>
      </c>
      <c r="F219" s="202" t="s">
        <v>520</v>
      </c>
      <c r="G219" s="202"/>
      <c r="H219" s="157" t="str">
        <f t="shared" si="2"/>
        <v>R$ 363,84</v>
      </c>
      <c r="I219" s="143" t="str">
        <f t="shared" si="3"/>
        <v>Estado de Santa Catarina- Dívida Ativa 5101003687-R$ 363,84;</v>
      </c>
      <c r="J219" s="215"/>
      <c r="K219" s="157" t="str">
        <f t="shared" si="4"/>
        <v>R$ R$ 363,84</v>
      </c>
      <c r="L219" s="143" t="str">
        <f t="shared" si="5"/>
        <v>363,84-Ev. 480-R$ R$ 363,84;</v>
      </c>
      <c r="M219" s="215"/>
      <c r="N219" s="229"/>
      <c r="O219" s="215"/>
      <c r="P219" s="229"/>
      <c r="Q219" s="215"/>
      <c r="R219" s="229"/>
      <c r="S219" s="215"/>
    </row>
    <row r="220" spans="2:19">
      <c r="B220" s="27" t="s">
        <v>425</v>
      </c>
      <c r="C220" s="27" t="s">
        <v>65</v>
      </c>
      <c r="D220" s="180">
        <v>5101009387</v>
      </c>
      <c r="E220" s="201">
        <v>284.67</v>
      </c>
      <c r="F220" s="202" t="s">
        <v>520</v>
      </c>
      <c r="G220" s="202"/>
      <c r="H220" s="157" t="str">
        <f t="shared" si="2"/>
        <v>R$ 284,67</v>
      </c>
      <c r="I220" s="143" t="str">
        <f t="shared" si="3"/>
        <v>Estado de Santa Catarina- Dívida Ativa 5101009387-R$ 284,67;</v>
      </c>
      <c r="J220" s="215"/>
      <c r="K220" s="157" t="str">
        <f t="shared" si="4"/>
        <v>R$ R$ 284,67</v>
      </c>
      <c r="L220" s="143" t="str">
        <f t="shared" si="5"/>
        <v>284,67-Ev. 480-R$ R$ 284,67;</v>
      </c>
      <c r="M220" s="215"/>
      <c r="N220" s="229"/>
      <c r="O220" s="215"/>
      <c r="P220" s="229"/>
      <c r="Q220" s="215"/>
      <c r="R220" s="229"/>
      <c r="S220" s="215"/>
    </row>
    <row r="221" spans="2:19">
      <c r="B221" s="27" t="s">
        <v>425</v>
      </c>
      <c r="C221" s="27" t="s">
        <v>65</v>
      </c>
      <c r="D221" s="180">
        <v>5101003987</v>
      </c>
      <c r="E221" s="201">
        <v>33007.08</v>
      </c>
      <c r="F221" s="202" t="s">
        <v>520</v>
      </c>
      <c r="G221" s="202"/>
      <c r="H221" s="157" t="str">
        <f t="shared" si="2"/>
        <v>R$ 33007,08</v>
      </c>
      <c r="I221" s="143" t="str">
        <f t="shared" si="3"/>
        <v>Estado de Santa Catarina- Dívida Ativa 5101003987-R$ 33007,08;</v>
      </c>
      <c r="J221" s="215"/>
      <c r="K221" s="157" t="str">
        <f t="shared" si="4"/>
        <v>R$ R$ 33007,08</v>
      </c>
      <c r="L221" s="143" t="str">
        <f t="shared" si="5"/>
        <v>33007,08-Ev. 480-R$ R$ 33007,08;</v>
      </c>
      <c r="M221" s="215"/>
      <c r="N221" s="229"/>
      <c r="O221" s="215"/>
      <c r="P221" s="229"/>
      <c r="Q221" s="215"/>
      <c r="R221" s="229"/>
      <c r="S221" s="215"/>
    </row>
    <row r="222" spans="2:19">
      <c r="B222" s="27" t="s">
        <v>425</v>
      </c>
      <c r="C222" s="27" t="s">
        <v>65</v>
      </c>
      <c r="D222" s="180">
        <v>5101004887</v>
      </c>
      <c r="E222" s="201">
        <v>29770.93</v>
      </c>
      <c r="F222" s="202" t="s">
        <v>520</v>
      </c>
      <c r="G222" s="202"/>
      <c r="H222" s="157" t="str">
        <f t="shared" si="2"/>
        <v>R$ 29770,93</v>
      </c>
      <c r="I222" s="143" t="str">
        <f t="shared" si="3"/>
        <v>Estado de Santa Catarina- Dívida Ativa 5101004887-R$ 29770,93;</v>
      </c>
      <c r="J222" s="215"/>
      <c r="K222" s="157" t="str">
        <f t="shared" si="4"/>
        <v>R$ R$ 29770,93</v>
      </c>
      <c r="L222" s="143" t="str">
        <f t="shared" si="5"/>
        <v>29770,93-Ev. 480-R$ R$ 29770,93;</v>
      </c>
      <c r="M222" s="215"/>
      <c r="N222" s="229"/>
      <c r="O222" s="215"/>
      <c r="P222" s="229"/>
      <c r="Q222" s="215"/>
      <c r="R222" s="229"/>
      <c r="S222" s="215"/>
    </row>
    <row r="223" spans="2:19">
      <c r="B223" s="27" t="s">
        <v>425</v>
      </c>
      <c r="C223" s="27" t="s">
        <v>65</v>
      </c>
      <c r="D223" s="180">
        <v>5101005687</v>
      </c>
      <c r="E223" s="201">
        <v>17389.84</v>
      </c>
      <c r="F223" s="202" t="s">
        <v>520</v>
      </c>
      <c r="G223" s="202"/>
      <c r="H223" s="157" t="str">
        <f t="shared" si="2"/>
        <v>R$ 17389,84</v>
      </c>
      <c r="I223" s="143" t="str">
        <f t="shared" si="3"/>
        <v>Estado de Santa Catarina- Dívida Ativa 5101005687-R$ 17389,84;</v>
      </c>
      <c r="J223" s="215"/>
      <c r="K223" s="157" t="str">
        <f t="shared" si="4"/>
        <v>R$ R$ 17389,84</v>
      </c>
      <c r="L223" s="143" t="str">
        <f t="shared" si="5"/>
        <v>17389,84-Ev. 480-R$ R$ 17389,84;</v>
      </c>
      <c r="M223" s="215"/>
      <c r="N223" s="229"/>
      <c r="O223" s="215"/>
      <c r="P223" s="229"/>
      <c r="Q223" s="215"/>
      <c r="R223" s="229"/>
      <c r="S223" s="215"/>
    </row>
    <row r="224" spans="2:19">
      <c r="B224" s="27" t="s">
        <v>425</v>
      </c>
      <c r="C224" s="27" t="s">
        <v>65</v>
      </c>
      <c r="D224" s="180">
        <v>5101008587</v>
      </c>
      <c r="E224" s="201">
        <v>11858.16</v>
      </c>
      <c r="F224" s="202" t="s">
        <v>520</v>
      </c>
      <c r="G224" s="202"/>
      <c r="H224" s="157" t="str">
        <f t="shared" si="2"/>
        <v>R$ 11858,16</v>
      </c>
      <c r="I224" s="143" t="str">
        <f t="shared" si="3"/>
        <v>Estado de Santa Catarina- Dívida Ativa 5101008587-R$ 11858,16;</v>
      </c>
      <c r="J224" s="215"/>
      <c r="K224" s="157" t="str">
        <f t="shared" si="4"/>
        <v>R$ R$ 11858,16</v>
      </c>
      <c r="L224" s="143" t="str">
        <f t="shared" si="5"/>
        <v>11858,16-Ev. 480-R$ R$ 11858,16;</v>
      </c>
      <c r="M224" s="215"/>
      <c r="N224" s="229"/>
      <c r="O224" s="215"/>
      <c r="P224" s="229"/>
      <c r="Q224" s="215"/>
      <c r="R224" s="229"/>
      <c r="S224" s="215"/>
    </row>
    <row r="225" spans="2:19">
      <c r="B225" s="27" t="s">
        <v>425</v>
      </c>
      <c r="C225" s="27" t="s">
        <v>65</v>
      </c>
      <c r="D225" s="180">
        <v>5101013687</v>
      </c>
      <c r="E225" s="201">
        <v>13850.86</v>
      </c>
      <c r="F225" s="202" t="s">
        <v>520</v>
      </c>
      <c r="G225" s="202"/>
      <c r="H225" s="157" t="str">
        <f t="shared" si="2"/>
        <v>R$ 13850,86</v>
      </c>
      <c r="I225" s="143" t="str">
        <f t="shared" si="3"/>
        <v>Estado de Santa Catarina- Dívida Ativa 5101013687-R$ 13850,86;</v>
      </c>
      <c r="J225" s="215"/>
      <c r="K225" s="157" t="str">
        <f t="shared" si="4"/>
        <v>R$ R$ 13850,86</v>
      </c>
      <c r="L225" s="143" t="str">
        <f t="shared" si="5"/>
        <v>13850,86-Ev. 480-R$ R$ 13850,86;</v>
      </c>
      <c r="M225" s="215"/>
      <c r="N225" s="229"/>
      <c r="O225" s="215"/>
      <c r="P225" s="229"/>
      <c r="Q225" s="215"/>
      <c r="R225" s="229"/>
      <c r="S225" s="215"/>
    </row>
    <row r="226" spans="2:19">
      <c r="B226" s="27" t="s">
        <v>425</v>
      </c>
      <c r="C226" s="27" t="s">
        <v>65</v>
      </c>
      <c r="D226" s="180">
        <v>5101016687</v>
      </c>
      <c r="E226" s="201">
        <v>3619.5</v>
      </c>
      <c r="F226" s="202" t="s">
        <v>520</v>
      </c>
      <c r="G226" s="202"/>
      <c r="H226" s="157" t="str">
        <f t="shared" si="2"/>
        <v>R$ 3619,5</v>
      </c>
      <c r="I226" s="143" t="str">
        <f t="shared" si="3"/>
        <v>Estado de Santa Catarina- Dívida Ativa 5101016687-R$ 3619,5;</v>
      </c>
      <c r="J226" s="215"/>
      <c r="K226" s="157" t="str">
        <f t="shared" si="4"/>
        <v>R$ R$ 3619,5</v>
      </c>
      <c r="L226" s="143" t="str">
        <f t="shared" si="5"/>
        <v>3619,5-Ev. 480-R$ R$ 3619,5;</v>
      </c>
      <c r="M226" s="215"/>
      <c r="N226" s="229"/>
      <c r="O226" s="215"/>
      <c r="P226" s="229"/>
      <c r="Q226" s="215"/>
      <c r="R226" s="229"/>
      <c r="S226" s="215"/>
    </row>
    <row r="227" spans="2:19">
      <c r="B227" s="27" t="s">
        <v>425</v>
      </c>
      <c r="C227" s="27" t="s">
        <v>65</v>
      </c>
      <c r="D227" s="180">
        <v>5101016587</v>
      </c>
      <c r="E227" s="201">
        <v>8198.69</v>
      </c>
      <c r="F227" s="202" t="s">
        <v>520</v>
      </c>
      <c r="G227" s="202"/>
      <c r="H227" s="157" t="str">
        <f t="shared" si="2"/>
        <v>R$ 8198,69</v>
      </c>
      <c r="I227" s="143" t="str">
        <f t="shared" si="3"/>
        <v>Estado de Santa Catarina- Dívida Ativa 5101016587-R$ 8198,69;</v>
      </c>
      <c r="J227" s="215"/>
      <c r="K227" s="157" t="str">
        <f t="shared" si="4"/>
        <v>R$ R$ 8198,69</v>
      </c>
      <c r="L227" s="143" t="str">
        <f t="shared" si="5"/>
        <v>8198,69-Ev. 480-R$ R$ 8198,69;</v>
      </c>
      <c r="M227" s="215"/>
      <c r="N227" s="229"/>
      <c r="O227" s="215"/>
      <c r="P227" s="229"/>
      <c r="Q227" s="215"/>
      <c r="R227" s="229"/>
      <c r="S227" s="215"/>
    </row>
    <row r="228" spans="2:19">
      <c r="B228" s="27" t="s">
        <v>425</v>
      </c>
      <c r="C228" s="27" t="s">
        <v>65</v>
      </c>
      <c r="D228" s="180">
        <v>5101002887</v>
      </c>
      <c r="E228" s="201">
        <v>3220.28</v>
      </c>
      <c r="F228" s="202" t="s">
        <v>520</v>
      </c>
      <c r="G228" s="202"/>
      <c r="H228" s="157" t="str">
        <f t="shared" si="2"/>
        <v>R$ 3220,28</v>
      </c>
      <c r="I228" s="143" t="str">
        <f t="shared" si="3"/>
        <v>Estado de Santa Catarina- Dívida Ativa 5101002887-R$ 3220,28;</v>
      </c>
      <c r="J228" s="215"/>
      <c r="K228" s="157" t="str">
        <f t="shared" si="4"/>
        <v>R$ R$ 3220,28</v>
      </c>
      <c r="L228" s="143" t="str">
        <f t="shared" si="5"/>
        <v>3220,28-Ev. 480-R$ R$ 3220,28;</v>
      </c>
      <c r="M228" s="215"/>
      <c r="N228" s="229"/>
      <c r="O228" s="215"/>
      <c r="P228" s="229"/>
      <c r="Q228" s="215"/>
      <c r="R228" s="229"/>
      <c r="S228" s="215"/>
    </row>
    <row r="229" spans="2:19">
      <c r="B229" s="27" t="s">
        <v>425</v>
      </c>
      <c r="C229" s="27" t="s">
        <v>65</v>
      </c>
      <c r="D229" s="180">
        <v>5101003287</v>
      </c>
      <c r="E229" s="201">
        <v>598.55999999999995</v>
      </c>
      <c r="F229" s="202" t="s">
        <v>520</v>
      </c>
      <c r="G229" s="202"/>
      <c r="H229" s="157" t="str">
        <f t="shared" si="2"/>
        <v>R$ 598,56</v>
      </c>
      <c r="I229" s="143" t="str">
        <f t="shared" si="3"/>
        <v>Estado de Santa Catarina- Dívida Ativa 5101003287-R$ 598,56;</v>
      </c>
      <c r="J229" s="215"/>
      <c r="K229" s="157" t="str">
        <f t="shared" si="4"/>
        <v>R$ R$ 598,56</v>
      </c>
      <c r="L229" s="143" t="str">
        <f t="shared" si="5"/>
        <v>598,56-Ev. 480-R$ R$ 598,56;</v>
      </c>
      <c r="M229" s="215"/>
      <c r="N229" s="229"/>
      <c r="O229" s="215"/>
      <c r="P229" s="229"/>
      <c r="Q229" s="215"/>
      <c r="R229" s="229"/>
      <c r="S229" s="215"/>
    </row>
    <row r="230" spans="2:19">
      <c r="B230" s="27" t="s">
        <v>425</v>
      </c>
      <c r="C230" s="27" t="s">
        <v>65</v>
      </c>
      <c r="D230" s="180">
        <v>5101004987</v>
      </c>
      <c r="E230" s="201">
        <v>3526.91</v>
      </c>
      <c r="F230" s="202" t="s">
        <v>520</v>
      </c>
      <c r="G230" s="202"/>
      <c r="H230" s="157" t="str">
        <f t="shared" si="2"/>
        <v>R$ 3526,91</v>
      </c>
      <c r="I230" s="143" t="str">
        <f t="shared" si="3"/>
        <v>Estado de Santa Catarina- Dívida Ativa 5101004987-R$ 3526,91;</v>
      </c>
      <c r="J230" s="215"/>
      <c r="K230" s="157" t="str">
        <f t="shared" si="4"/>
        <v>R$ R$ 3526,91</v>
      </c>
      <c r="L230" s="143" t="str">
        <f t="shared" si="5"/>
        <v>3526,91-Ev. 480-R$ R$ 3526,91;</v>
      </c>
      <c r="M230" s="215"/>
      <c r="N230" s="229"/>
      <c r="O230" s="215"/>
      <c r="P230" s="229"/>
      <c r="Q230" s="215"/>
      <c r="R230" s="229"/>
      <c r="S230" s="215"/>
    </row>
    <row r="231" spans="2:19">
      <c r="B231" s="27" t="s">
        <v>425</v>
      </c>
      <c r="C231" s="27" t="s">
        <v>65</v>
      </c>
      <c r="D231" s="180">
        <v>5101016487</v>
      </c>
      <c r="E231" s="201">
        <v>2844.13</v>
      </c>
      <c r="F231" s="202" t="s">
        <v>520</v>
      </c>
      <c r="G231" s="202"/>
      <c r="H231" s="157" t="str">
        <f t="shared" si="2"/>
        <v>R$ 2844,13</v>
      </c>
      <c r="I231" s="143" t="str">
        <f t="shared" si="3"/>
        <v>Estado de Santa Catarina- Dívida Ativa 5101016487-R$ 2844,13;</v>
      </c>
      <c r="J231" s="215"/>
      <c r="K231" s="157" t="str">
        <f t="shared" si="4"/>
        <v>R$ R$ 2844,13</v>
      </c>
      <c r="L231" s="143" t="str">
        <f t="shared" si="5"/>
        <v>2844,13-Ev. 480-R$ R$ 2844,13;</v>
      </c>
      <c r="M231" s="215"/>
      <c r="N231" s="229"/>
      <c r="O231" s="215"/>
      <c r="P231" s="229"/>
      <c r="Q231" s="215"/>
      <c r="R231" s="229"/>
      <c r="S231" s="215"/>
    </row>
    <row r="232" spans="2:19">
      <c r="B232" s="27" t="s">
        <v>425</v>
      </c>
      <c r="C232" s="27" t="s">
        <v>65</v>
      </c>
      <c r="D232" s="180">
        <v>5101003487</v>
      </c>
      <c r="E232" s="201">
        <v>1028.04</v>
      </c>
      <c r="F232" s="202" t="s">
        <v>520</v>
      </c>
      <c r="G232" s="202"/>
      <c r="H232" s="157" t="str">
        <f t="shared" si="2"/>
        <v>R$ 1028,04</v>
      </c>
      <c r="I232" s="143" t="str">
        <f t="shared" si="3"/>
        <v>Estado de Santa Catarina- Dívida Ativa 5101003487-R$ 1028,04;</v>
      </c>
      <c r="J232" s="215"/>
      <c r="K232" s="157" t="str">
        <f t="shared" si="4"/>
        <v>R$ R$ 1028,04</v>
      </c>
      <c r="L232" s="143" t="str">
        <f t="shared" si="5"/>
        <v>1028,04-Ev. 480-R$ R$ 1028,04;</v>
      </c>
      <c r="M232" s="215"/>
      <c r="N232" s="229"/>
      <c r="O232" s="215"/>
      <c r="P232" s="229"/>
      <c r="Q232" s="215"/>
      <c r="R232" s="229"/>
      <c r="S232" s="215"/>
    </row>
    <row r="233" spans="2:19">
      <c r="B233" s="27" t="s">
        <v>425</v>
      </c>
      <c r="C233" s="27" t="s">
        <v>65</v>
      </c>
      <c r="D233" s="180">
        <v>5101004287</v>
      </c>
      <c r="E233" s="201">
        <v>2008.14</v>
      </c>
      <c r="F233" s="202" t="s">
        <v>520</v>
      </c>
      <c r="G233" s="202"/>
      <c r="H233" s="157" t="str">
        <f t="shared" si="2"/>
        <v>R$ 2008,14</v>
      </c>
      <c r="I233" s="143" t="str">
        <f t="shared" si="3"/>
        <v>Estado de Santa Catarina- Dívida Ativa 5101004287-R$ 2008,14;</v>
      </c>
      <c r="J233" s="215"/>
      <c r="K233" s="157" t="str">
        <f t="shared" si="4"/>
        <v>R$ R$ 2008,14</v>
      </c>
      <c r="L233" s="143" t="str">
        <f t="shared" si="5"/>
        <v>2008,14-Ev. 480-R$ R$ 2008,14;</v>
      </c>
      <c r="M233" s="215"/>
      <c r="N233" s="229"/>
      <c r="O233" s="215"/>
      <c r="P233" s="229"/>
      <c r="Q233" s="215"/>
      <c r="R233" s="229"/>
      <c r="S233" s="215"/>
    </row>
    <row r="234" spans="2:19">
      <c r="B234" s="27" t="s">
        <v>425</v>
      </c>
      <c r="C234" s="27" t="s">
        <v>65</v>
      </c>
      <c r="D234" s="180">
        <v>5101005787</v>
      </c>
      <c r="E234" s="201">
        <v>994.78</v>
      </c>
      <c r="F234" s="202" t="s">
        <v>520</v>
      </c>
      <c r="G234" s="202"/>
      <c r="H234" s="157" t="str">
        <f t="shared" si="2"/>
        <v>R$ 994,78</v>
      </c>
      <c r="I234" s="143" t="str">
        <f t="shared" si="3"/>
        <v>Estado de Santa Catarina- Dívida Ativa 5101005787-R$ 994,78;</v>
      </c>
      <c r="J234" s="215"/>
      <c r="K234" s="157" t="str">
        <f t="shared" si="4"/>
        <v>R$ R$ 994,78</v>
      </c>
      <c r="L234" s="143" t="str">
        <f t="shared" si="5"/>
        <v>994,78-Ev. 480-R$ R$ 994,78;</v>
      </c>
      <c r="M234" s="215"/>
      <c r="N234" s="229"/>
      <c r="O234" s="215"/>
      <c r="P234" s="229"/>
      <c r="Q234" s="215"/>
      <c r="R234" s="229"/>
      <c r="S234" s="215"/>
    </row>
    <row r="235" spans="2:19">
      <c r="B235" s="27" t="s">
        <v>425</v>
      </c>
      <c r="C235" s="27" t="s">
        <v>65</v>
      </c>
      <c r="D235" s="180">
        <v>5101009287</v>
      </c>
      <c r="E235" s="201">
        <v>846.17</v>
      </c>
      <c r="F235" s="202" t="s">
        <v>520</v>
      </c>
      <c r="G235" s="202"/>
      <c r="H235" s="157" t="str">
        <f t="shared" si="2"/>
        <v>R$ 846,17</v>
      </c>
      <c r="I235" s="143" t="str">
        <f t="shared" si="3"/>
        <v>Estado de Santa Catarina- Dívida Ativa 5101009287-R$ 846,17;</v>
      </c>
      <c r="J235" s="215"/>
      <c r="K235" s="157" t="str">
        <f t="shared" si="4"/>
        <v>R$ R$ 846,17</v>
      </c>
      <c r="L235" s="143" t="str">
        <f t="shared" si="5"/>
        <v>846,17-Ev. 480-R$ R$ 846,17;</v>
      </c>
      <c r="M235" s="215"/>
      <c r="N235" s="229"/>
      <c r="O235" s="215"/>
      <c r="P235" s="229"/>
      <c r="Q235" s="215"/>
      <c r="R235" s="229"/>
      <c r="S235" s="215"/>
    </row>
    <row r="236" spans="2:19">
      <c r="B236" s="27" t="s">
        <v>425</v>
      </c>
      <c r="C236" s="27" t="s">
        <v>65</v>
      </c>
      <c r="D236" s="180">
        <v>5101013787</v>
      </c>
      <c r="E236" s="201">
        <v>1338.26</v>
      </c>
      <c r="F236" s="202" t="s">
        <v>520</v>
      </c>
      <c r="G236" s="202"/>
      <c r="H236" s="157" t="str">
        <f t="shared" si="2"/>
        <v>R$ 1338,26</v>
      </c>
      <c r="I236" s="143" t="str">
        <f t="shared" si="3"/>
        <v>Estado de Santa Catarina- Dívida Ativa 5101013787-R$ 1338,26;</v>
      </c>
      <c r="J236" s="215"/>
      <c r="K236" s="157" t="str">
        <f t="shared" si="4"/>
        <v>R$ R$ 1338,26</v>
      </c>
      <c r="L236" s="143" t="str">
        <f t="shared" si="5"/>
        <v>1338,26-Ev. 480-R$ R$ 1338,26;</v>
      </c>
      <c r="M236" s="215"/>
      <c r="N236" s="229"/>
      <c r="O236" s="215"/>
      <c r="P236" s="229"/>
      <c r="Q236" s="215"/>
      <c r="R236" s="229"/>
      <c r="S236" s="215"/>
    </row>
    <row r="237" spans="2:19">
      <c r="B237" s="27" t="s">
        <v>425</v>
      </c>
      <c r="C237" s="27" t="s">
        <v>65</v>
      </c>
      <c r="D237" s="180">
        <v>5101003387</v>
      </c>
      <c r="E237" s="201">
        <v>510.37</v>
      </c>
      <c r="F237" s="202" t="s">
        <v>520</v>
      </c>
      <c r="G237" s="202"/>
      <c r="H237" s="157" t="str">
        <f t="shared" si="2"/>
        <v>R$ 510,37</v>
      </c>
      <c r="I237" s="143" t="str">
        <f t="shared" si="3"/>
        <v>Estado de Santa Catarina- Dívida Ativa 5101003387-R$ 510,37;</v>
      </c>
      <c r="J237" s="215"/>
      <c r="K237" s="157" t="str">
        <f t="shared" si="4"/>
        <v>R$ R$ 510,37</v>
      </c>
      <c r="L237" s="143" t="str">
        <f t="shared" si="5"/>
        <v>510,37-Ev. 480-R$ R$ 510,37;</v>
      </c>
      <c r="M237" s="215"/>
      <c r="N237" s="229"/>
      <c r="O237" s="215"/>
      <c r="P237" s="229"/>
      <c r="Q237" s="215"/>
      <c r="R237" s="229"/>
      <c r="S237" s="215"/>
    </row>
    <row r="238" spans="2:19">
      <c r="B238" s="27" t="s">
        <v>425</v>
      </c>
      <c r="C238" s="27" t="s">
        <v>65</v>
      </c>
      <c r="D238" s="180">
        <v>5101003887</v>
      </c>
      <c r="E238" s="201">
        <v>3223.94</v>
      </c>
      <c r="F238" s="202" t="s">
        <v>520</v>
      </c>
      <c r="G238" s="202"/>
      <c r="H238" s="157" t="str">
        <f t="shared" si="2"/>
        <v>R$ 3223,94</v>
      </c>
      <c r="I238" s="143" t="str">
        <f t="shared" si="3"/>
        <v>Estado de Santa Catarina- Dívida Ativa 5101003887-R$ 3223,94;</v>
      </c>
      <c r="J238" s="215"/>
      <c r="K238" s="157" t="str">
        <f t="shared" si="4"/>
        <v>R$ R$ 3223,94</v>
      </c>
      <c r="L238" s="143" t="str">
        <f t="shared" si="5"/>
        <v>3223,94-Ev. 480-R$ R$ 3223,94;</v>
      </c>
      <c r="M238" s="215"/>
      <c r="N238" s="229"/>
      <c r="O238" s="215"/>
      <c r="P238" s="229"/>
      <c r="Q238" s="215"/>
      <c r="R238" s="229"/>
      <c r="S238" s="215"/>
    </row>
    <row r="239" spans="2:19">
      <c r="B239" s="27" t="s">
        <v>425</v>
      </c>
      <c r="C239" s="27" t="s">
        <v>65</v>
      </c>
      <c r="D239" s="180">
        <v>5101002787</v>
      </c>
      <c r="E239" s="201">
        <v>1207.52</v>
      </c>
      <c r="F239" s="202" t="s">
        <v>520</v>
      </c>
      <c r="G239" s="202"/>
      <c r="H239" s="157" t="str">
        <f t="shared" si="2"/>
        <v>R$ 1207,52</v>
      </c>
      <c r="I239" s="143" t="str">
        <f t="shared" si="3"/>
        <v>Estado de Santa Catarina- Dívida Ativa 5101002787-R$ 1207,52;</v>
      </c>
      <c r="J239" s="215"/>
      <c r="K239" s="157" t="str">
        <f t="shared" si="4"/>
        <v>R$ R$ 1207,52</v>
      </c>
      <c r="L239" s="143" t="str">
        <f t="shared" si="5"/>
        <v>1207,52-Ev. 480-R$ R$ 1207,52;</v>
      </c>
      <c r="M239" s="215"/>
      <c r="N239" s="229"/>
      <c r="O239" s="215"/>
      <c r="P239" s="229"/>
      <c r="Q239" s="215"/>
      <c r="R239" s="229"/>
      <c r="S239" s="215"/>
    </row>
    <row r="240" spans="2:19">
      <c r="B240" s="27" t="s">
        <v>425</v>
      </c>
      <c r="C240" s="27" t="s">
        <v>65</v>
      </c>
      <c r="D240" s="180">
        <v>5101004387</v>
      </c>
      <c r="E240" s="201">
        <v>2545.75</v>
      </c>
      <c r="F240" s="202" t="s">
        <v>520</v>
      </c>
      <c r="G240" s="202"/>
      <c r="H240" s="157" t="str">
        <f t="shared" si="2"/>
        <v>R$ 2545,75</v>
      </c>
      <c r="I240" s="143" t="str">
        <f t="shared" si="3"/>
        <v>Estado de Santa Catarina- Dívida Ativa 5101004387-R$ 2545,75;</v>
      </c>
      <c r="J240" s="215"/>
      <c r="K240" s="157" t="str">
        <f t="shared" si="4"/>
        <v>R$ R$ 2545,75</v>
      </c>
      <c r="L240" s="143" t="str">
        <f t="shared" si="5"/>
        <v>2545,75-Ev. 480-R$ R$ 2545,75;</v>
      </c>
      <c r="M240" s="215"/>
      <c r="N240" s="229"/>
      <c r="O240" s="215"/>
      <c r="P240" s="229"/>
      <c r="Q240" s="215"/>
      <c r="R240" s="229"/>
      <c r="S240" s="215"/>
    </row>
    <row r="241" spans="2:20">
      <c r="B241" s="27" t="s">
        <v>425</v>
      </c>
      <c r="C241" s="27" t="s">
        <v>65</v>
      </c>
      <c r="D241" s="180">
        <v>5101005187</v>
      </c>
      <c r="E241" s="201">
        <v>692.52</v>
      </c>
      <c r="F241" s="202" t="s">
        <v>520</v>
      </c>
      <c r="G241" s="202"/>
      <c r="H241" s="157" t="str">
        <f t="shared" si="2"/>
        <v>R$ 692,52</v>
      </c>
      <c r="I241" s="143" t="str">
        <f t="shared" si="3"/>
        <v>Estado de Santa Catarina- Dívida Ativa 5101005187-R$ 692,52;</v>
      </c>
      <c r="J241" s="215"/>
      <c r="K241" s="157" t="str">
        <f t="shared" si="4"/>
        <v>R$ R$ 692,52</v>
      </c>
      <c r="L241" s="143" t="str">
        <f t="shared" si="5"/>
        <v>692,52-Ev. 480-R$ R$ 692,52;</v>
      </c>
      <c r="M241" s="215"/>
      <c r="N241" s="229"/>
      <c r="O241" s="215"/>
      <c r="P241" s="229"/>
      <c r="Q241" s="215"/>
      <c r="R241" s="229"/>
      <c r="S241" s="215"/>
    </row>
    <row r="242" spans="2:20">
      <c r="B242" s="27" t="s">
        <v>425</v>
      </c>
      <c r="C242" s="27" t="s">
        <v>65</v>
      </c>
      <c r="D242" s="180">
        <v>5101009187</v>
      </c>
      <c r="E242" s="201">
        <v>4149.33</v>
      </c>
      <c r="F242" s="202" t="s">
        <v>520</v>
      </c>
      <c r="G242" s="202"/>
      <c r="H242" s="157" t="str">
        <f t="shared" si="2"/>
        <v>R$ 4149,33</v>
      </c>
      <c r="I242" s="143" t="str">
        <f t="shared" si="3"/>
        <v>Estado de Santa Catarina- Dívida Ativa 5101009187-R$ 4149,33;</v>
      </c>
      <c r="J242" s="215"/>
      <c r="K242" s="157" t="str">
        <f t="shared" si="4"/>
        <v>R$ R$ 4149,33</v>
      </c>
      <c r="L242" s="143" t="str">
        <f t="shared" si="5"/>
        <v>4149,33-Ev. 480-R$ R$ 4149,33;</v>
      </c>
      <c r="M242" s="215"/>
      <c r="N242" s="229"/>
      <c r="O242" s="215"/>
      <c r="P242" s="229"/>
      <c r="Q242" s="215"/>
      <c r="R242" s="229"/>
      <c r="S242" s="215"/>
    </row>
    <row r="243" spans="2:20">
      <c r="B243" s="27" t="s">
        <v>425</v>
      </c>
      <c r="C243" s="27" t="s">
        <v>65</v>
      </c>
      <c r="D243" s="180">
        <v>5101003587</v>
      </c>
      <c r="E243" s="201">
        <v>1254.45</v>
      </c>
      <c r="F243" s="202" t="s">
        <v>520</v>
      </c>
      <c r="G243" s="202"/>
      <c r="H243" s="157" t="str">
        <f t="shared" si="2"/>
        <v>R$ 1254,45</v>
      </c>
      <c r="I243" s="143" t="str">
        <f t="shared" si="3"/>
        <v>Estado de Santa Catarina- Dívida Ativa 5101003587-R$ 1254,45;</v>
      </c>
      <c r="J243" s="215"/>
      <c r="K243" s="157" t="str">
        <f t="shared" si="4"/>
        <v>R$ R$ 1254,45</v>
      </c>
      <c r="L243" s="143" t="str">
        <f t="shared" si="5"/>
        <v>1254,45-Ev. 480-R$ R$ 1254,45;</v>
      </c>
      <c r="M243" s="215"/>
      <c r="N243" s="229"/>
      <c r="O243" s="215"/>
      <c r="P243" s="229"/>
      <c r="Q243" s="215"/>
      <c r="R243" s="229"/>
      <c r="S243" s="215"/>
    </row>
    <row r="244" spans="2:20">
      <c r="B244" s="27" t="s">
        <v>425</v>
      </c>
      <c r="C244" s="27" t="s">
        <v>65</v>
      </c>
      <c r="D244" s="180">
        <v>5101003787</v>
      </c>
      <c r="E244" s="201">
        <v>1761.11</v>
      </c>
      <c r="F244" s="202" t="s">
        <v>520</v>
      </c>
      <c r="G244" s="202"/>
      <c r="H244" s="157" t="str">
        <f t="shared" si="2"/>
        <v>R$ 1761,11</v>
      </c>
      <c r="I244" s="143" t="str">
        <f t="shared" si="3"/>
        <v>Estado de Santa Catarina- Dívida Ativa 5101003787-R$ 1761,11;</v>
      </c>
      <c r="J244" s="215"/>
      <c r="K244" s="157" t="str">
        <f t="shared" si="4"/>
        <v>R$ R$ 1761,11</v>
      </c>
      <c r="L244" s="143" t="str">
        <f t="shared" si="5"/>
        <v>1761,11-Ev. 480-R$ R$ 1761,11;</v>
      </c>
      <c r="M244" s="215"/>
      <c r="N244" s="229"/>
      <c r="O244" s="215"/>
      <c r="P244" s="229"/>
      <c r="Q244" s="215"/>
      <c r="R244" s="229"/>
      <c r="S244" s="215"/>
    </row>
    <row r="245" spans="2:20">
      <c r="B245" s="27" t="s">
        <v>425</v>
      </c>
      <c r="C245" s="27" t="s">
        <v>65</v>
      </c>
      <c r="D245" s="180">
        <v>5101005087</v>
      </c>
      <c r="E245" s="201">
        <v>1862.16</v>
      </c>
      <c r="F245" s="202" t="s">
        <v>520</v>
      </c>
      <c r="G245" s="202"/>
      <c r="H245" s="157" t="str">
        <f>"R$ "&amp;E245</f>
        <v>R$ 1862,16</v>
      </c>
      <c r="I245" s="143" t="str">
        <f>B245&amp;"-"&amp;C245&amp;""&amp;D245&amp;"-"&amp;H245&amp;";"</f>
        <v>Estado de Santa Catarina- Dívida Ativa 5101005087-R$ 1862,16;</v>
      </c>
      <c r="J245" s="215"/>
      <c r="K245" s="157" t="str">
        <f>"R$ "&amp;H245</f>
        <v>R$ R$ 1862,16</v>
      </c>
      <c r="L245" s="143" t="str">
        <f>E245&amp;"-"&amp;F245&amp;""&amp;G245&amp;"-"&amp;K245&amp;";"</f>
        <v>1862,16-Ev. 480-R$ R$ 1862,16;</v>
      </c>
      <c r="M245" s="215"/>
      <c r="N245" s="229"/>
      <c r="O245" s="215"/>
      <c r="P245" s="229"/>
      <c r="Q245" s="215"/>
      <c r="R245" s="229"/>
      <c r="S245" s="215"/>
    </row>
    <row r="246" spans="2:20">
      <c r="B246" s="472" t="s">
        <v>56</v>
      </c>
      <c r="C246" s="472"/>
      <c r="D246" s="472"/>
      <c r="E246" s="49">
        <f>SUM(E180:E245)</f>
        <v>374434.59</v>
      </c>
      <c r="F246" s="49"/>
      <c r="G246" s="49"/>
      <c r="H246" s="157" t="str">
        <f>"R$ "&amp;E246</f>
        <v>R$ 374434,59</v>
      </c>
      <c r="I246" s="172">
        <v>1166756.6399999999</v>
      </c>
      <c r="J246" s="44"/>
      <c r="K246" s="157" t="str">
        <f>"R$ "&amp;H246</f>
        <v>R$ R$ 374434,59</v>
      </c>
      <c r="L246" s="172">
        <v>1166756.6399999999</v>
      </c>
      <c r="M246" s="44"/>
      <c r="N246" s="230"/>
      <c r="O246" s="44"/>
      <c r="P246" s="230"/>
      <c r="Q246" s="44"/>
      <c r="R246" s="230"/>
      <c r="S246" s="44"/>
      <c r="T246" s="352"/>
    </row>
    <row r="250" spans="2:20">
      <c r="B250" s="44" t="s">
        <v>538</v>
      </c>
    </row>
    <row r="251" spans="2:20">
      <c r="B251" s="479" t="s">
        <v>449</v>
      </c>
      <c r="C251" s="479"/>
      <c r="D251" s="479"/>
      <c r="E251" s="479"/>
      <c r="F251" s="479"/>
      <c r="G251" s="209"/>
    </row>
    <row r="252" spans="2:20" ht="26.25">
      <c r="B252" s="42" t="s">
        <v>423</v>
      </c>
      <c r="C252" s="42" t="s">
        <v>45</v>
      </c>
      <c r="D252" s="42" t="s">
        <v>66</v>
      </c>
      <c r="E252" s="43" t="s">
        <v>521</v>
      </c>
      <c r="F252" s="42" t="s">
        <v>94</v>
      </c>
      <c r="G252" s="42" t="s">
        <v>506</v>
      </c>
    </row>
    <row r="253" spans="2:20">
      <c r="B253" s="27" t="s">
        <v>424</v>
      </c>
      <c r="C253" s="27" t="s">
        <v>65</v>
      </c>
      <c r="D253" s="211" t="s">
        <v>67</v>
      </c>
      <c r="E253" s="25"/>
      <c r="F253" s="212" t="s">
        <v>524</v>
      </c>
      <c r="G253" s="212"/>
    </row>
    <row r="254" spans="2:20">
      <c r="B254" s="27" t="s">
        <v>424</v>
      </c>
      <c r="C254" s="27" t="s">
        <v>65</v>
      </c>
      <c r="D254" s="211" t="s">
        <v>68</v>
      </c>
      <c r="E254" s="25">
        <v>3033.36</v>
      </c>
      <c r="F254" s="212" t="s">
        <v>523</v>
      </c>
      <c r="G254" s="212"/>
    </row>
    <row r="255" spans="2:20">
      <c r="B255" s="27" t="s">
        <v>424</v>
      </c>
      <c r="C255" s="27" t="s">
        <v>65</v>
      </c>
      <c r="D255" s="214" t="s">
        <v>69</v>
      </c>
      <c r="E255" s="25">
        <v>3033.36</v>
      </c>
      <c r="F255" s="212" t="s">
        <v>523</v>
      </c>
      <c r="G255" s="212"/>
    </row>
    <row r="256" spans="2:20">
      <c r="B256" s="27" t="s">
        <v>424</v>
      </c>
      <c r="C256" s="27" t="s">
        <v>65</v>
      </c>
      <c r="D256" s="214" t="s">
        <v>70</v>
      </c>
      <c r="E256" s="25">
        <v>908.7</v>
      </c>
      <c r="F256" s="212" t="s">
        <v>523</v>
      </c>
      <c r="G256" s="212"/>
    </row>
    <row r="257" spans="2:7">
      <c r="B257" s="207" t="s">
        <v>424</v>
      </c>
      <c r="C257" s="207" t="s">
        <v>65</v>
      </c>
      <c r="D257" s="214" t="s">
        <v>71</v>
      </c>
      <c r="E257" s="222">
        <v>16838.64</v>
      </c>
      <c r="F257" s="212" t="s">
        <v>523</v>
      </c>
      <c r="G257" s="212"/>
    </row>
    <row r="258" spans="2:7">
      <c r="B258" s="27" t="s">
        <v>424</v>
      </c>
      <c r="C258" s="27" t="s">
        <v>65</v>
      </c>
      <c r="D258" s="214" t="s">
        <v>74</v>
      </c>
      <c r="E258" s="25">
        <v>510.14</v>
      </c>
      <c r="F258" s="212" t="s">
        <v>523</v>
      </c>
      <c r="G258" s="212"/>
    </row>
    <row r="259" spans="2:7">
      <c r="B259" s="27" t="s">
        <v>424</v>
      </c>
      <c r="C259" s="27" t="s">
        <v>65</v>
      </c>
      <c r="D259" s="223" t="s">
        <v>86</v>
      </c>
      <c r="E259" s="201">
        <v>3355.15</v>
      </c>
      <c r="F259" s="212" t="s">
        <v>523</v>
      </c>
      <c r="G259" s="212"/>
    </row>
    <row r="260" spans="2:7">
      <c r="B260" s="207" t="s">
        <v>424</v>
      </c>
      <c r="C260" s="207" t="s">
        <v>65</v>
      </c>
      <c r="D260" s="223" t="s">
        <v>93</v>
      </c>
      <c r="E260" s="224">
        <v>18484.2</v>
      </c>
      <c r="F260" s="212" t="s">
        <v>523</v>
      </c>
      <c r="G260" s="212"/>
    </row>
    <row r="261" spans="2:7">
      <c r="B261" s="27" t="s">
        <v>424</v>
      </c>
      <c r="C261" s="27" t="s">
        <v>65</v>
      </c>
      <c r="D261" s="223">
        <v>316617202</v>
      </c>
      <c r="E261" s="201">
        <v>6903.6</v>
      </c>
      <c r="F261" s="212" t="s">
        <v>523</v>
      </c>
      <c r="G261" s="202"/>
    </row>
    <row r="262" spans="2:7">
      <c r="B262" s="27" t="s">
        <v>424</v>
      </c>
      <c r="C262" s="27" t="s">
        <v>65</v>
      </c>
      <c r="D262" s="223">
        <v>316617210</v>
      </c>
      <c r="E262" s="201">
        <v>2231.62</v>
      </c>
      <c r="F262" s="212" t="s">
        <v>523</v>
      </c>
      <c r="G262" s="202"/>
    </row>
    <row r="263" spans="2:7">
      <c r="B263" s="207" t="s">
        <v>424</v>
      </c>
      <c r="C263" s="207" t="s">
        <v>65</v>
      </c>
      <c r="D263" s="223">
        <v>316617300</v>
      </c>
      <c r="E263" s="201">
        <v>103.18</v>
      </c>
      <c r="F263" s="202" t="s">
        <v>522</v>
      </c>
      <c r="G263" s="202"/>
    </row>
    <row r="264" spans="2:7">
      <c r="B264" s="207" t="s">
        <v>424</v>
      </c>
      <c r="C264" s="207" t="s">
        <v>65</v>
      </c>
      <c r="D264" s="223">
        <v>316617288</v>
      </c>
      <c r="E264" s="201">
        <v>123.36</v>
      </c>
      <c r="F264" s="202" t="s">
        <v>522</v>
      </c>
      <c r="G264" s="202"/>
    </row>
    <row r="265" spans="2:7">
      <c r="B265" s="207" t="s">
        <v>424</v>
      </c>
      <c r="C265" s="207" t="s">
        <v>65</v>
      </c>
      <c r="D265" s="223">
        <v>316617350</v>
      </c>
      <c r="E265" s="201">
        <v>169.94</v>
      </c>
      <c r="F265" s="202" t="s">
        <v>522</v>
      </c>
      <c r="G265" s="202"/>
    </row>
    <row r="266" spans="2:7">
      <c r="B266" s="207" t="s">
        <v>424</v>
      </c>
      <c r="C266" s="207" t="s">
        <v>65</v>
      </c>
      <c r="D266" s="223">
        <v>316617342</v>
      </c>
      <c r="E266" s="201">
        <v>239.85</v>
      </c>
      <c r="F266" s="202" t="s">
        <v>522</v>
      </c>
      <c r="G266" s="202"/>
    </row>
    <row r="267" spans="2:7">
      <c r="B267" s="207" t="s">
        <v>424</v>
      </c>
      <c r="C267" s="207" t="s">
        <v>65</v>
      </c>
      <c r="D267" s="223">
        <v>316617334</v>
      </c>
      <c r="E267" s="201">
        <v>652.29999999999995</v>
      </c>
      <c r="F267" s="202" t="s">
        <v>522</v>
      </c>
      <c r="G267" s="202"/>
    </row>
    <row r="268" spans="2:7">
      <c r="B268" s="207" t="s">
        <v>424</v>
      </c>
      <c r="C268" s="207" t="s">
        <v>65</v>
      </c>
      <c r="D268" s="223">
        <v>316617199</v>
      </c>
      <c r="E268" s="201">
        <v>818.97</v>
      </c>
      <c r="F268" s="202" t="s">
        <v>522</v>
      </c>
      <c r="G268" s="202"/>
    </row>
    <row r="269" spans="2:7">
      <c r="B269" s="207" t="s">
        <v>424</v>
      </c>
      <c r="C269" s="207" t="s">
        <v>65</v>
      </c>
      <c r="D269" s="223">
        <v>316617270</v>
      </c>
      <c r="E269" s="201">
        <v>821.25</v>
      </c>
      <c r="F269" s="202" t="s">
        <v>522</v>
      </c>
      <c r="G269" s="202"/>
    </row>
    <row r="270" spans="2:7">
      <c r="B270" s="207" t="s">
        <v>424</v>
      </c>
      <c r="C270" s="207" t="s">
        <v>65</v>
      </c>
      <c r="D270" s="223">
        <v>316617253</v>
      </c>
      <c r="E270" s="201">
        <v>1342.92</v>
      </c>
      <c r="F270" s="202" t="s">
        <v>522</v>
      </c>
      <c r="G270" s="202"/>
    </row>
    <row r="271" spans="2:7">
      <c r="B271" s="207" t="s">
        <v>424</v>
      </c>
      <c r="C271" s="207" t="s">
        <v>65</v>
      </c>
      <c r="D271" s="223">
        <v>316617180</v>
      </c>
      <c r="E271" s="201">
        <v>2304.42</v>
      </c>
      <c r="F271" s="202" t="s">
        <v>522</v>
      </c>
      <c r="G271" s="202"/>
    </row>
    <row r="272" spans="2:7">
      <c r="B272" s="207" t="s">
        <v>424</v>
      </c>
      <c r="C272" s="207" t="s">
        <v>65</v>
      </c>
      <c r="D272" s="223">
        <v>316617261</v>
      </c>
      <c r="E272" s="201">
        <v>2340.0300000000002</v>
      </c>
      <c r="F272" s="202" t="s">
        <v>522</v>
      </c>
      <c r="G272" s="202"/>
    </row>
    <row r="273" spans="2:7">
      <c r="B273" s="207" t="s">
        <v>424</v>
      </c>
      <c r="C273" s="207" t="s">
        <v>65</v>
      </c>
      <c r="D273" s="223">
        <v>316617237</v>
      </c>
      <c r="E273" s="201">
        <v>2603.02</v>
      </c>
      <c r="F273" s="202" t="s">
        <v>522</v>
      </c>
      <c r="G273" s="202"/>
    </row>
    <row r="274" spans="2:7">
      <c r="B274" s="207" t="s">
        <v>424</v>
      </c>
      <c r="C274" s="207" t="s">
        <v>65</v>
      </c>
      <c r="D274" s="223">
        <v>316617245</v>
      </c>
      <c r="E274" s="201">
        <v>3933.02</v>
      </c>
      <c r="F274" s="202" t="s">
        <v>522</v>
      </c>
      <c r="G274" s="202"/>
    </row>
    <row r="275" spans="2:7">
      <c r="B275" s="207" t="s">
        <v>424</v>
      </c>
      <c r="C275" s="207" t="s">
        <v>65</v>
      </c>
      <c r="D275" s="223">
        <v>316617229</v>
      </c>
      <c r="E275" s="201">
        <v>7639.32</v>
      </c>
      <c r="F275" s="202" t="s">
        <v>522</v>
      </c>
      <c r="G275" s="202"/>
    </row>
    <row r="276" spans="2:7">
      <c r="B276" s="27" t="s">
        <v>425</v>
      </c>
      <c r="C276" s="27" t="s">
        <v>65</v>
      </c>
      <c r="D276" s="175">
        <v>1101000387</v>
      </c>
      <c r="E276" s="201">
        <v>61.22</v>
      </c>
      <c r="F276" s="202" t="s">
        <v>520</v>
      </c>
      <c r="G276" s="202"/>
    </row>
    <row r="277" spans="2:7">
      <c r="B277" s="27" t="s">
        <v>425</v>
      </c>
      <c r="C277" s="27" t="s">
        <v>65</v>
      </c>
      <c r="D277" s="175">
        <v>5101004787</v>
      </c>
      <c r="E277" s="201">
        <v>1728.76</v>
      </c>
      <c r="F277" s="202" t="s">
        <v>520</v>
      </c>
      <c r="G277" s="202"/>
    </row>
    <row r="278" spans="2:7">
      <c r="B278" s="27" t="s">
        <v>425</v>
      </c>
      <c r="C278" s="27" t="s">
        <v>65</v>
      </c>
      <c r="D278" s="180">
        <v>5101005387</v>
      </c>
      <c r="E278" s="201">
        <v>3256.26</v>
      </c>
      <c r="F278" s="202" t="s">
        <v>520</v>
      </c>
      <c r="G278" s="202"/>
    </row>
    <row r="279" spans="2:7">
      <c r="B279" s="27" t="s">
        <v>425</v>
      </c>
      <c r="C279" s="27" t="s">
        <v>65</v>
      </c>
      <c r="D279" s="180">
        <v>5101008787</v>
      </c>
      <c r="E279" s="201">
        <v>1601.73</v>
      </c>
      <c r="F279" s="202" t="s">
        <v>520</v>
      </c>
      <c r="G279" s="202"/>
    </row>
    <row r="280" spans="2:7">
      <c r="B280" s="27" t="s">
        <v>425</v>
      </c>
      <c r="C280" s="27" t="s">
        <v>65</v>
      </c>
      <c r="D280" s="180">
        <v>5101013587</v>
      </c>
      <c r="E280" s="201">
        <v>1209.56</v>
      </c>
      <c r="F280" s="202" t="s">
        <v>520</v>
      </c>
      <c r="G280" s="202"/>
    </row>
    <row r="281" spans="2:7">
      <c r="B281" s="27" t="s">
        <v>425</v>
      </c>
      <c r="C281" s="27" t="s">
        <v>65</v>
      </c>
      <c r="D281" s="180">
        <v>5101004187</v>
      </c>
      <c r="E281" s="201">
        <v>7938.91</v>
      </c>
      <c r="F281" s="202" t="s">
        <v>520</v>
      </c>
      <c r="G281" s="202"/>
    </row>
    <row r="282" spans="2:7">
      <c r="B282" s="27" t="s">
        <v>425</v>
      </c>
      <c r="C282" s="27" t="s">
        <v>65</v>
      </c>
      <c r="D282" s="180">
        <v>5101004687</v>
      </c>
      <c r="E282" s="201">
        <v>10326.4</v>
      </c>
      <c r="F282" s="202" t="s">
        <v>520</v>
      </c>
      <c r="G282" s="202"/>
    </row>
    <row r="283" spans="2:7">
      <c r="B283" s="27" t="s">
        <v>425</v>
      </c>
      <c r="C283" s="27" t="s">
        <v>65</v>
      </c>
      <c r="D283" s="180">
        <v>5101005487</v>
      </c>
      <c r="E283" s="201">
        <v>4584.76</v>
      </c>
      <c r="F283" s="202" t="s">
        <v>520</v>
      </c>
      <c r="G283" s="202"/>
    </row>
    <row r="284" spans="2:7">
      <c r="B284" s="27" t="s">
        <v>425</v>
      </c>
      <c r="C284" s="27" t="s">
        <v>65</v>
      </c>
      <c r="D284" s="180">
        <v>5101008687</v>
      </c>
      <c r="E284" s="201">
        <v>3608.01</v>
      </c>
      <c r="F284" s="202" t="s">
        <v>520</v>
      </c>
      <c r="G284" s="202"/>
    </row>
    <row r="285" spans="2:7">
      <c r="B285" s="27" t="s">
        <v>425</v>
      </c>
      <c r="C285" s="27" t="s">
        <v>65</v>
      </c>
      <c r="D285" s="180">
        <v>5101014087</v>
      </c>
      <c r="E285" s="201">
        <v>2900.29</v>
      </c>
      <c r="F285" s="202" t="s">
        <v>520</v>
      </c>
      <c r="G285" s="202"/>
    </row>
    <row r="286" spans="2:7">
      <c r="B286" s="27" t="s">
        <v>425</v>
      </c>
      <c r="C286" s="27" t="s">
        <v>65</v>
      </c>
      <c r="D286" s="180">
        <v>5101743887</v>
      </c>
      <c r="E286" s="201">
        <v>47361.03</v>
      </c>
      <c r="F286" s="202" t="s">
        <v>520</v>
      </c>
      <c r="G286" s="202"/>
    </row>
    <row r="287" spans="2:7">
      <c r="B287" s="27" t="s">
        <v>425</v>
      </c>
      <c r="C287" s="27" t="s">
        <v>65</v>
      </c>
      <c r="D287" s="180">
        <v>2101317567</v>
      </c>
      <c r="E287" s="201">
        <v>21634.85</v>
      </c>
      <c r="F287" s="202" t="s">
        <v>520</v>
      </c>
      <c r="G287" s="202"/>
    </row>
    <row r="288" spans="2:7">
      <c r="B288" s="27" t="s">
        <v>425</v>
      </c>
      <c r="C288" s="27" t="s">
        <v>65</v>
      </c>
      <c r="D288" s="180">
        <v>5101002987</v>
      </c>
      <c r="E288" s="201">
        <v>12749.27</v>
      </c>
      <c r="F288" s="202" t="s">
        <v>520</v>
      </c>
      <c r="G288" s="202"/>
    </row>
    <row r="289" spans="2:7">
      <c r="B289" s="27" t="s">
        <v>425</v>
      </c>
      <c r="C289" s="27" t="s">
        <v>65</v>
      </c>
      <c r="D289" s="180">
        <v>5101003187</v>
      </c>
      <c r="E289" s="201">
        <v>234.86</v>
      </c>
      <c r="F289" s="202" t="s">
        <v>520</v>
      </c>
      <c r="G289" s="202"/>
    </row>
    <row r="290" spans="2:7">
      <c r="B290" s="27" t="s">
        <v>425</v>
      </c>
      <c r="C290" s="27" t="s">
        <v>65</v>
      </c>
      <c r="D290" s="180">
        <v>5101005587</v>
      </c>
      <c r="E290" s="201">
        <v>6739.54</v>
      </c>
      <c r="F290" s="202" t="s">
        <v>520</v>
      </c>
      <c r="G290" s="202"/>
    </row>
    <row r="291" spans="2:7">
      <c r="B291" s="27" t="s">
        <v>425</v>
      </c>
      <c r="C291" s="27" t="s">
        <v>65</v>
      </c>
      <c r="D291" s="180">
        <v>5101008987</v>
      </c>
      <c r="E291" s="201">
        <v>3269.01</v>
      </c>
      <c r="F291" s="202" t="s">
        <v>520</v>
      </c>
      <c r="G291" s="202"/>
    </row>
    <row r="292" spans="2:7">
      <c r="B292" s="27" t="s">
        <v>425</v>
      </c>
      <c r="C292" s="27" t="s">
        <v>65</v>
      </c>
      <c r="D292" s="180">
        <v>5101013987</v>
      </c>
      <c r="E292" s="201">
        <v>1622.36</v>
      </c>
      <c r="F292" s="202" t="s">
        <v>520</v>
      </c>
      <c r="G292" s="202"/>
    </row>
    <row r="293" spans="2:7">
      <c r="B293" s="27" t="s">
        <v>425</v>
      </c>
      <c r="C293" s="27" t="s">
        <v>65</v>
      </c>
      <c r="D293" s="180">
        <v>5101005887</v>
      </c>
      <c r="E293" s="201">
        <v>1181.74</v>
      </c>
      <c r="F293" s="202" t="s">
        <v>520</v>
      </c>
      <c r="G293" s="202"/>
    </row>
    <row r="294" spans="2:7">
      <c r="B294" s="27" t="s">
        <v>425</v>
      </c>
      <c r="C294" s="27" t="s">
        <v>65</v>
      </c>
      <c r="D294" s="180">
        <v>5101008887</v>
      </c>
      <c r="E294" s="201">
        <v>1340.47</v>
      </c>
      <c r="F294" s="202" t="s">
        <v>520</v>
      </c>
      <c r="G294" s="202"/>
    </row>
    <row r="295" spans="2:7">
      <c r="B295" s="27" t="s">
        <v>425</v>
      </c>
      <c r="C295" s="27" t="s">
        <v>65</v>
      </c>
      <c r="D295" s="180">
        <v>5101013887</v>
      </c>
      <c r="E295" s="201">
        <v>309.48</v>
      </c>
      <c r="F295" s="202" t="s">
        <v>520</v>
      </c>
      <c r="G295" s="202"/>
    </row>
    <row r="296" spans="2:7">
      <c r="B296" s="27" t="s">
        <v>425</v>
      </c>
      <c r="C296" s="27" t="s">
        <v>65</v>
      </c>
      <c r="D296" s="180">
        <v>5101743968</v>
      </c>
      <c r="E296" s="201">
        <v>2186.29</v>
      </c>
      <c r="F296" s="202" t="s">
        <v>520</v>
      </c>
      <c r="G296" s="202"/>
    </row>
    <row r="297" spans="2:7">
      <c r="B297" s="27" t="s">
        <v>425</v>
      </c>
      <c r="C297" s="27" t="s">
        <v>65</v>
      </c>
      <c r="D297" s="180">
        <v>1101001288</v>
      </c>
      <c r="E297" s="201">
        <v>16013.43</v>
      </c>
      <c r="F297" s="202" t="s">
        <v>520</v>
      </c>
      <c r="G297" s="202"/>
    </row>
    <row r="298" spans="2:7">
      <c r="B298" s="207" t="s">
        <v>425</v>
      </c>
      <c r="C298" s="207" t="s">
        <v>65</v>
      </c>
      <c r="D298" s="214">
        <v>1101005491</v>
      </c>
      <c r="E298" s="201">
        <v>282.94</v>
      </c>
      <c r="F298" s="202" t="s">
        <v>520</v>
      </c>
      <c r="G298" s="202"/>
    </row>
    <row r="299" spans="2:7">
      <c r="B299" s="27" t="s">
        <v>425</v>
      </c>
      <c r="C299" s="27" t="s">
        <v>65</v>
      </c>
      <c r="D299" s="180">
        <v>5101004087</v>
      </c>
      <c r="E299" s="201">
        <v>1456.76</v>
      </c>
      <c r="F299" s="202" t="s">
        <v>520</v>
      </c>
      <c r="G299" s="202"/>
    </row>
    <row r="300" spans="2:7">
      <c r="B300" s="27" t="s">
        <v>425</v>
      </c>
      <c r="C300" s="27" t="s">
        <v>65</v>
      </c>
      <c r="D300" s="180">
        <v>5101004587</v>
      </c>
      <c r="E300" s="201">
        <v>3409.26</v>
      </c>
      <c r="F300" s="202" t="s">
        <v>520</v>
      </c>
      <c r="G300" s="202"/>
    </row>
    <row r="301" spans="2:7">
      <c r="B301" s="27" t="s">
        <v>425</v>
      </c>
      <c r="C301" s="27" t="s">
        <v>65</v>
      </c>
      <c r="D301" s="180">
        <v>5101005287</v>
      </c>
      <c r="E301" s="201">
        <v>1453.39</v>
      </c>
      <c r="F301" s="202" t="s">
        <v>520</v>
      </c>
      <c r="G301" s="202"/>
    </row>
    <row r="302" spans="2:7">
      <c r="B302" s="27" t="s">
        <v>425</v>
      </c>
      <c r="C302" s="27" t="s">
        <v>65</v>
      </c>
      <c r="D302" s="180">
        <v>5101009087</v>
      </c>
      <c r="E302" s="201">
        <v>1434.07</v>
      </c>
      <c r="F302" s="202" t="s">
        <v>520</v>
      </c>
      <c r="G302" s="202"/>
    </row>
    <row r="303" spans="2:7">
      <c r="B303" s="27" t="s">
        <v>425</v>
      </c>
      <c r="C303" s="27" t="s">
        <v>65</v>
      </c>
      <c r="D303" s="180">
        <v>5101014187</v>
      </c>
      <c r="E303" s="201">
        <v>1000.65</v>
      </c>
      <c r="F303" s="202" t="s">
        <v>520</v>
      </c>
      <c r="G303" s="202"/>
    </row>
    <row r="304" spans="2:7">
      <c r="B304" s="27" t="s">
        <v>425</v>
      </c>
      <c r="C304" s="27" t="s">
        <v>65</v>
      </c>
      <c r="D304" s="180">
        <v>5101004487</v>
      </c>
      <c r="E304" s="201">
        <v>2445.58</v>
      </c>
      <c r="F304" s="202" t="s">
        <v>520</v>
      </c>
      <c r="G304" s="202"/>
    </row>
    <row r="305" spans="2:7">
      <c r="B305" s="27" t="s">
        <v>425</v>
      </c>
      <c r="C305" s="27" t="s">
        <v>65</v>
      </c>
      <c r="D305" s="180">
        <v>5101003687</v>
      </c>
      <c r="E305" s="201">
        <v>363.84</v>
      </c>
      <c r="F305" s="202" t="s">
        <v>520</v>
      </c>
      <c r="G305" s="202"/>
    </row>
    <row r="306" spans="2:7">
      <c r="B306" s="27" t="s">
        <v>425</v>
      </c>
      <c r="C306" s="27" t="s">
        <v>65</v>
      </c>
      <c r="D306" s="180">
        <v>5101009387</v>
      </c>
      <c r="E306" s="201">
        <v>284.67</v>
      </c>
      <c r="F306" s="202" t="s">
        <v>520</v>
      </c>
      <c r="G306" s="202"/>
    </row>
    <row r="307" spans="2:7">
      <c r="B307" s="27" t="s">
        <v>425</v>
      </c>
      <c r="C307" s="27" t="s">
        <v>65</v>
      </c>
      <c r="D307" s="180">
        <v>5101003987</v>
      </c>
      <c r="E307" s="201">
        <v>33007.08</v>
      </c>
      <c r="F307" s="202" t="s">
        <v>520</v>
      </c>
      <c r="G307" s="202"/>
    </row>
    <row r="308" spans="2:7">
      <c r="B308" s="27" t="s">
        <v>425</v>
      </c>
      <c r="C308" s="27" t="s">
        <v>65</v>
      </c>
      <c r="D308" s="180">
        <v>5101004887</v>
      </c>
      <c r="E308" s="201">
        <v>29770.93</v>
      </c>
      <c r="F308" s="202" t="s">
        <v>520</v>
      </c>
      <c r="G308" s="202"/>
    </row>
    <row r="309" spans="2:7">
      <c r="B309" s="27" t="s">
        <v>425</v>
      </c>
      <c r="C309" s="27" t="s">
        <v>65</v>
      </c>
      <c r="D309" s="180">
        <v>5101005687</v>
      </c>
      <c r="E309" s="201">
        <v>17389.84</v>
      </c>
      <c r="F309" s="202" t="s">
        <v>520</v>
      </c>
      <c r="G309" s="202"/>
    </row>
    <row r="310" spans="2:7">
      <c r="B310" s="27" t="s">
        <v>425</v>
      </c>
      <c r="C310" s="27" t="s">
        <v>65</v>
      </c>
      <c r="D310" s="180">
        <v>5101008587</v>
      </c>
      <c r="E310" s="201">
        <v>11858.16</v>
      </c>
      <c r="F310" s="202" t="s">
        <v>520</v>
      </c>
      <c r="G310" s="202"/>
    </row>
    <row r="311" spans="2:7">
      <c r="B311" s="27" t="s">
        <v>425</v>
      </c>
      <c r="C311" s="27" t="s">
        <v>65</v>
      </c>
      <c r="D311" s="180">
        <v>5101013687</v>
      </c>
      <c r="E311" s="201">
        <v>13850.86</v>
      </c>
      <c r="F311" s="202" t="s">
        <v>520</v>
      </c>
      <c r="G311" s="202"/>
    </row>
    <row r="312" spans="2:7">
      <c r="B312" s="27" t="s">
        <v>425</v>
      </c>
      <c r="C312" s="27" t="s">
        <v>65</v>
      </c>
      <c r="D312" s="180">
        <v>5101016687</v>
      </c>
      <c r="E312" s="201">
        <v>3619.5</v>
      </c>
      <c r="F312" s="202" t="s">
        <v>520</v>
      </c>
      <c r="G312" s="202"/>
    </row>
    <row r="313" spans="2:7">
      <c r="B313" s="27" t="s">
        <v>425</v>
      </c>
      <c r="C313" s="27" t="s">
        <v>65</v>
      </c>
      <c r="D313" s="180">
        <v>5101016587</v>
      </c>
      <c r="E313" s="201">
        <v>8198.69</v>
      </c>
      <c r="F313" s="202" t="s">
        <v>520</v>
      </c>
      <c r="G313" s="202"/>
    </row>
    <row r="314" spans="2:7">
      <c r="B314" s="27" t="s">
        <v>425</v>
      </c>
      <c r="C314" s="27" t="s">
        <v>65</v>
      </c>
      <c r="D314" s="180">
        <v>5101002887</v>
      </c>
      <c r="E314" s="201">
        <v>3220.28</v>
      </c>
      <c r="F314" s="202" t="s">
        <v>520</v>
      </c>
      <c r="G314" s="202"/>
    </row>
    <row r="315" spans="2:7">
      <c r="B315" s="27" t="s">
        <v>425</v>
      </c>
      <c r="C315" s="27" t="s">
        <v>65</v>
      </c>
      <c r="D315" s="180">
        <v>5101003287</v>
      </c>
      <c r="E315" s="201">
        <v>598.55999999999995</v>
      </c>
      <c r="F315" s="202" t="s">
        <v>520</v>
      </c>
      <c r="G315" s="202"/>
    </row>
    <row r="316" spans="2:7">
      <c r="B316" s="27" t="s">
        <v>425</v>
      </c>
      <c r="C316" s="27" t="s">
        <v>65</v>
      </c>
      <c r="D316" s="180">
        <v>5101004987</v>
      </c>
      <c r="E316" s="201">
        <v>3526.91</v>
      </c>
      <c r="F316" s="202" t="s">
        <v>520</v>
      </c>
      <c r="G316" s="202"/>
    </row>
    <row r="317" spans="2:7">
      <c r="B317" s="27" t="s">
        <v>425</v>
      </c>
      <c r="C317" s="27" t="s">
        <v>65</v>
      </c>
      <c r="D317" s="180">
        <v>5101016487</v>
      </c>
      <c r="E317" s="201">
        <v>2844.13</v>
      </c>
      <c r="F317" s="202" t="s">
        <v>520</v>
      </c>
      <c r="G317" s="202"/>
    </row>
    <row r="318" spans="2:7">
      <c r="B318" s="27" t="s">
        <v>425</v>
      </c>
      <c r="C318" s="27" t="s">
        <v>65</v>
      </c>
      <c r="D318" s="180">
        <v>5101003487</v>
      </c>
      <c r="E318" s="201">
        <v>1028.04</v>
      </c>
      <c r="F318" s="202" t="s">
        <v>520</v>
      </c>
      <c r="G318" s="202"/>
    </row>
    <row r="319" spans="2:7">
      <c r="B319" s="27" t="s">
        <v>425</v>
      </c>
      <c r="C319" s="27" t="s">
        <v>65</v>
      </c>
      <c r="D319" s="180">
        <v>5101004287</v>
      </c>
      <c r="E319" s="201">
        <v>2008.14</v>
      </c>
      <c r="F319" s="202" t="s">
        <v>520</v>
      </c>
      <c r="G319" s="202"/>
    </row>
    <row r="320" spans="2:7">
      <c r="B320" s="27" t="s">
        <v>425</v>
      </c>
      <c r="C320" s="27" t="s">
        <v>65</v>
      </c>
      <c r="D320" s="180">
        <v>5101005787</v>
      </c>
      <c r="E320" s="201">
        <v>994.78</v>
      </c>
      <c r="F320" s="202" t="s">
        <v>520</v>
      </c>
      <c r="G320" s="202"/>
    </row>
    <row r="321" spans="2:7">
      <c r="B321" s="27" t="s">
        <v>425</v>
      </c>
      <c r="C321" s="27" t="s">
        <v>65</v>
      </c>
      <c r="D321" s="180">
        <v>5101009287</v>
      </c>
      <c r="E321" s="201">
        <v>846.17</v>
      </c>
      <c r="F321" s="202" t="s">
        <v>520</v>
      </c>
      <c r="G321" s="202"/>
    </row>
    <row r="322" spans="2:7">
      <c r="B322" s="27" t="s">
        <v>425</v>
      </c>
      <c r="C322" s="27" t="s">
        <v>65</v>
      </c>
      <c r="D322" s="180">
        <v>5101013787</v>
      </c>
      <c r="E322" s="201">
        <v>1338.26</v>
      </c>
      <c r="F322" s="202" t="s">
        <v>520</v>
      </c>
      <c r="G322" s="202"/>
    </row>
    <row r="323" spans="2:7">
      <c r="B323" s="27" t="s">
        <v>425</v>
      </c>
      <c r="C323" s="27" t="s">
        <v>65</v>
      </c>
      <c r="D323" s="180">
        <v>5101003387</v>
      </c>
      <c r="E323" s="201">
        <v>510.37</v>
      </c>
      <c r="F323" s="202" t="s">
        <v>520</v>
      </c>
      <c r="G323" s="202"/>
    </row>
    <row r="324" spans="2:7">
      <c r="B324" s="27" t="s">
        <v>425</v>
      </c>
      <c r="C324" s="27" t="s">
        <v>65</v>
      </c>
      <c r="D324" s="180">
        <v>5101003887</v>
      </c>
      <c r="E324" s="201">
        <v>3223.94</v>
      </c>
      <c r="F324" s="202" t="s">
        <v>520</v>
      </c>
      <c r="G324" s="202"/>
    </row>
    <row r="325" spans="2:7">
      <c r="B325" s="27" t="s">
        <v>425</v>
      </c>
      <c r="C325" s="27" t="s">
        <v>65</v>
      </c>
      <c r="D325" s="180">
        <v>5101002787</v>
      </c>
      <c r="E325" s="201">
        <v>1207.52</v>
      </c>
      <c r="F325" s="202" t="s">
        <v>520</v>
      </c>
      <c r="G325" s="202"/>
    </row>
    <row r="326" spans="2:7">
      <c r="B326" s="27" t="s">
        <v>425</v>
      </c>
      <c r="C326" s="27" t="s">
        <v>65</v>
      </c>
      <c r="D326" s="180">
        <v>5101004387</v>
      </c>
      <c r="E326" s="201">
        <v>2545.75</v>
      </c>
      <c r="F326" s="202" t="s">
        <v>520</v>
      </c>
      <c r="G326" s="202"/>
    </row>
    <row r="327" spans="2:7">
      <c r="B327" s="27" t="s">
        <v>425</v>
      </c>
      <c r="C327" s="27" t="s">
        <v>65</v>
      </c>
      <c r="D327" s="180">
        <v>5101005187</v>
      </c>
      <c r="E327" s="201">
        <v>692.52</v>
      </c>
      <c r="F327" s="202" t="s">
        <v>520</v>
      </c>
      <c r="G327" s="202"/>
    </row>
    <row r="328" spans="2:7">
      <c r="B328" s="27" t="s">
        <v>425</v>
      </c>
      <c r="C328" s="27" t="s">
        <v>65</v>
      </c>
      <c r="D328" s="180">
        <v>5101009187</v>
      </c>
      <c r="E328" s="201">
        <v>4149.33</v>
      </c>
      <c r="F328" s="202" t="s">
        <v>520</v>
      </c>
      <c r="G328" s="202"/>
    </row>
    <row r="329" spans="2:7">
      <c r="B329" s="27" t="s">
        <v>425</v>
      </c>
      <c r="C329" s="27" t="s">
        <v>65</v>
      </c>
      <c r="D329" s="180">
        <v>5101003587</v>
      </c>
      <c r="E329" s="201">
        <v>1254.45</v>
      </c>
      <c r="F329" s="202" t="s">
        <v>520</v>
      </c>
      <c r="G329" s="202"/>
    </row>
    <row r="330" spans="2:7">
      <c r="B330" s="27" t="s">
        <v>425</v>
      </c>
      <c r="C330" s="27" t="s">
        <v>65</v>
      </c>
      <c r="D330" s="180">
        <v>5101003787</v>
      </c>
      <c r="E330" s="201">
        <v>1761.11</v>
      </c>
      <c r="F330" s="202" t="s">
        <v>520</v>
      </c>
      <c r="G330" s="202"/>
    </row>
    <row r="331" spans="2:7">
      <c r="B331" s="27" t="s">
        <v>425</v>
      </c>
      <c r="C331" s="27" t="s">
        <v>65</v>
      </c>
      <c r="D331" s="180">
        <v>5101005087</v>
      </c>
      <c r="E331" s="201">
        <v>1862.16</v>
      </c>
      <c r="F331" s="202" t="s">
        <v>520</v>
      </c>
      <c r="G331" s="202"/>
    </row>
    <row r="332" spans="2:7">
      <c r="B332" s="472" t="s">
        <v>56</v>
      </c>
      <c r="C332" s="472"/>
      <c r="D332" s="472"/>
      <c r="E332" s="49">
        <f>SUM(E253:E331)</f>
        <v>393687.22000000003</v>
      </c>
      <c r="F332" s="49"/>
      <c r="G332" s="49"/>
    </row>
    <row r="335" spans="2:7">
      <c r="B335" s="44" t="s">
        <v>599</v>
      </c>
    </row>
    <row r="336" spans="2:7">
      <c r="B336" s="479" t="s">
        <v>600</v>
      </c>
      <c r="C336" s="479"/>
      <c r="D336" s="479"/>
      <c r="E336" s="479"/>
      <c r="F336" s="479"/>
    </row>
    <row r="337" spans="2:19" ht="26.25">
      <c r="B337" s="42" t="s">
        <v>423</v>
      </c>
      <c r="C337" s="42" t="s">
        <v>45</v>
      </c>
      <c r="D337" s="42" t="s">
        <v>66</v>
      </c>
      <c r="E337" s="43" t="s">
        <v>521</v>
      </c>
      <c r="F337" s="42" t="s">
        <v>94</v>
      </c>
      <c r="K337" s="333"/>
      <c r="L337" s="334"/>
      <c r="M337" s="335"/>
    </row>
    <row r="338" spans="2:19">
      <c r="B338" s="27"/>
      <c r="C338" s="27"/>
      <c r="D338" s="336"/>
      <c r="E338" s="276"/>
      <c r="F338" s="293"/>
      <c r="K338" s="333"/>
      <c r="L338" s="334"/>
      <c r="M338" s="335"/>
    </row>
    <row r="339" spans="2:19">
      <c r="B339" s="27"/>
      <c r="C339" s="27"/>
      <c r="D339" s="336"/>
      <c r="E339" s="276"/>
      <c r="F339" s="293"/>
      <c r="K339" s="333"/>
      <c r="L339" s="334"/>
      <c r="M339" s="335"/>
    </row>
    <row r="340" spans="2:19">
      <c r="B340" s="27"/>
      <c r="C340" s="27"/>
      <c r="D340" s="336"/>
      <c r="E340" s="276"/>
      <c r="F340" s="293"/>
      <c r="S340" s="208"/>
    </row>
    <row r="341" spans="2:19">
      <c r="B341" s="27"/>
      <c r="C341" s="27"/>
      <c r="D341" s="175"/>
      <c r="E341" s="201"/>
      <c r="F341" s="202"/>
    </row>
    <row r="342" spans="2:19">
      <c r="B342" s="27"/>
      <c r="C342" s="27"/>
      <c r="D342" s="322"/>
      <c r="E342" s="201"/>
      <c r="F342" s="202"/>
    </row>
    <row r="343" spans="2:19">
      <c r="B343" s="27"/>
      <c r="C343" s="27"/>
      <c r="D343" s="322"/>
      <c r="E343" s="201"/>
      <c r="F343" s="202"/>
    </row>
    <row r="344" spans="2:19">
      <c r="B344" s="27"/>
      <c r="C344" s="27"/>
      <c r="D344" s="322"/>
      <c r="E344" s="201"/>
      <c r="F344" s="202"/>
    </row>
    <row r="345" spans="2:19">
      <c r="B345" s="27"/>
      <c r="C345" s="27"/>
      <c r="D345" s="322"/>
      <c r="E345" s="201"/>
      <c r="F345" s="202"/>
    </row>
    <row r="346" spans="2:19">
      <c r="B346" s="27"/>
      <c r="C346" s="27"/>
      <c r="D346" s="322"/>
      <c r="E346" s="201"/>
      <c r="F346" s="202"/>
    </row>
    <row r="347" spans="2:19">
      <c r="B347" s="27"/>
      <c r="C347" s="27"/>
      <c r="D347" s="322"/>
      <c r="E347" s="201"/>
      <c r="F347" s="202"/>
    </row>
    <row r="348" spans="2:19">
      <c r="B348" s="27"/>
      <c r="C348" s="27"/>
      <c r="D348" s="322"/>
      <c r="E348" s="201"/>
      <c r="F348" s="202"/>
    </row>
    <row r="349" spans="2:19">
      <c r="B349" s="27"/>
      <c r="C349" s="27"/>
      <c r="D349" s="322"/>
      <c r="E349" s="201"/>
      <c r="F349" s="202"/>
    </row>
    <row r="350" spans="2:19">
      <c r="B350" s="27"/>
      <c r="C350" s="27"/>
      <c r="D350" s="322"/>
      <c r="E350" s="201"/>
      <c r="F350" s="202"/>
    </row>
    <row r="351" spans="2:19">
      <c r="B351" s="27"/>
      <c r="C351" s="27"/>
      <c r="D351" s="322"/>
      <c r="E351" s="201"/>
      <c r="F351" s="202"/>
    </row>
    <row r="352" spans="2:19">
      <c r="B352" s="27"/>
      <c r="C352" s="27"/>
      <c r="D352" s="322"/>
      <c r="E352" s="201"/>
      <c r="F352" s="202"/>
    </row>
    <row r="353" spans="2:6">
      <c r="B353" s="27"/>
      <c r="C353" s="27"/>
      <c r="D353" s="322"/>
      <c r="E353" s="201"/>
      <c r="F353" s="202"/>
    </row>
    <row r="354" spans="2:6">
      <c r="B354" s="27"/>
      <c r="C354" s="27"/>
      <c r="D354" s="322"/>
      <c r="E354" s="201"/>
      <c r="F354" s="202"/>
    </row>
    <row r="355" spans="2:6">
      <c r="B355" s="27"/>
      <c r="C355" s="27"/>
      <c r="D355" s="322"/>
      <c r="E355" s="201"/>
      <c r="F355" s="202"/>
    </row>
    <row r="356" spans="2:6">
      <c r="B356" s="27"/>
      <c r="C356" s="27"/>
      <c r="D356" s="322"/>
      <c r="E356" s="201"/>
      <c r="F356" s="202"/>
    </row>
    <row r="357" spans="2:6">
      <c r="B357" s="27"/>
      <c r="C357" s="27"/>
      <c r="D357" s="322"/>
      <c r="E357" s="201"/>
      <c r="F357" s="202"/>
    </row>
    <row r="358" spans="2:6">
      <c r="B358" s="27"/>
      <c r="C358" s="27"/>
      <c r="D358" s="322"/>
      <c r="E358" s="201"/>
      <c r="F358" s="202"/>
    </row>
    <row r="359" spans="2:6">
      <c r="B359" s="27"/>
      <c r="C359" s="27"/>
      <c r="D359" s="322"/>
      <c r="E359" s="201"/>
      <c r="F359" s="202"/>
    </row>
    <row r="360" spans="2:6">
      <c r="B360" s="27"/>
      <c r="C360" s="27"/>
      <c r="D360" s="322"/>
      <c r="E360" s="201"/>
      <c r="F360" s="202"/>
    </row>
    <row r="361" spans="2:6">
      <c r="B361" s="27"/>
      <c r="C361" s="27"/>
      <c r="D361" s="322"/>
      <c r="E361" s="201"/>
      <c r="F361" s="202"/>
    </row>
    <row r="362" spans="2:6">
      <c r="B362" s="27"/>
      <c r="C362" s="27"/>
      <c r="D362" s="322"/>
      <c r="E362" s="201"/>
      <c r="F362" s="202"/>
    </row>
    <row r="363" spans="2:6">
      <c r="B363" s="27"/>
      <c r="C363" s="27"/>
      <c r="D363" s="322"/>
      <c r="E363" s="201"/>
      <c r="F363" s="202"/>
    </row>
    <row r="364" spans="2:6">
      <c r="B364" s="27"/>
      <c r="C364" s="27"/>
      <c r="D364" s="322"/>
      <c r="E364" s="201"/>
      <c r="F364" s="202"/>
    </row>
    <row r="365" spans="2:6">
      <c r="B365" s="27"/>
      <c r="C365" s="27"/>
      <c r="D365" s="322"/>
      <c r="E365" s="33"/>
      <c r="F365" s="202"/>
    </row>
    <row r="366" spans="2:6">
      <c r="B366" s="27"/>
      <c r="C366" s="27"/>
      <c r="D366" s="322"/>
      <c r="E366" s="7"/>
      <c r="F366" s="202"/>
    </row>
    <row r="367" spans="2:6">
      <c r="B367" s="27"/>
      <c r="C367" s="27"/>
      <c r="D367" s="322"/>
      <c r="E367" s="7"/>
      <c r="F367" s="202"/>
    </row>
    <row r="368" spans="2:6">
      <c r="B368" s="27"/>
      <c r="C368" s="27"/>
      <c r="D368" s="322"/>
      <c r="E368" s="201"/>
      <c r="F368" s="202"/>
    </row>
    <row r="369" spans="2:6">
      <c r="B369" s="27"/>
      <c r="C369" s="27"/>
      <c r="D369" s="322"/>
      <c r="E369" s="201"/>
      <c r="F369" s="202"/>
    </row>
    <row r="370" spans="2:6">
      <c r="B370" s="27"/>
      <c r="C370" s="27"/>
      <c r="D370" s="322"/>
      <c r="E370" s="201"/>
      <c r="F370" s="202"/>
    </row>
    <row r="371" spans="2:6">
      <c r="B371" s="27"/>
      <c r="C371" s="27"/>
      <c r="D371" s="322"/>
      <c r="E371" s="201"/>
      <c r="F371" s="202"/>
    </row>
    <row r="372" spans="2:6">
      <c r="B372" s="27"/>
      <c r="C372" s="27"/>
      <c r="D372" s="322"/>
      <c r="E372" s="201"/>
      <c r="F372" s="202"/>
    </row>
    <row r="373" spans="2:6">
      <c r="B373" s="27"/>
      <c r="C373" s="27"/>
      <c r="D373" s="322"/>
      <c r="E373" s="201"/>
      <c r="F373" s="202"/>
    </row>
    <row r="374" spans="2:6">
      <c r="B374" s="27"/>
      <c r="C374" s="27"/>
      <c r="D374" s="322"/>
      <c r="E374" s="201"/>
      <c r="F374" s="202"/>
    </row>
    <row r="375" spans="2:6">
      <c r="B375" s="27"/>
      <c r="C375" s="27"/>
      <c r="D375" s="322"/>
      <c r="E375" s="201"/>
      <c r="F375" s="202"/>
    </row>
    <row r="376" spans="2:6">
      <c r="B376" s="27"/>
      <c r="C376" s="27"/>
      <c r="D376" s="322"/>
      <c r="E376" s="201"/>
      <c r="F376" s="202"/>
    </row>
    <row r="377" spans="2:6">
      <c r="B377" s="27"/>
      <c r="C377" s="27"/>
      <c r="D377" s="322"/>
      <c r="E377" s="201"/>
      <c r="F377" s="202"/>
    </row>
    <row r="378" spans="2:6">
      <c r="B378" s="27"/>
      <c r="C378" s="27"/>
      <c r="D378" s="322"/>
      <c r="E378" s="201"/>
      <c r="F378" s="202"/>
    </row>
    <row r="379" spans="2:6">
      <c r="B379" s="27"/>
      <c r="C379" s="27"/>
      <c r="D379" s="322"/>
      <c r="E379" s="201"/>
      <c r="F379" s="202"/>
    </row>
    <row r="380" spans="2:6">
      <c r="B380" s="27"/>
      <c r="C380" s="27"/>
      <c r="D380" s="322"/>
      <c r="E380" s="201"/>
      <c r="F380" s="202"/>
    </row>
    <row r="381" spans="2:6">
      <c r="B381" s="27"/>
      <c r="C381" s="27"/>
      <c r="D381" s="322"/>
      <c r="E381" s="201"/>
      <c r="F381" s="202"/>
    </row>
    <row r="382" spans="2:6">
      <c r="B382" s="27"/>
      <c r="C382" s="27"/>
      <c r="D382" s="322"/>
      <c r="E382" s="201"/>
      <c r="F382" s="202"/>
    </row>
    <row r="383" spans="2:6">
      <c r="B383" s="27"/>
      <c r="C383" s="27"/>
      <c r="D383" s="322"/>
      <c r="E383" s="201"/>
      <c r="F383" s="202"/>
    </row>
    <row r="384" spans="2:6">
      <c r="B384" s="27"/>
      <c r="C384" s="27"/>
      <c r="D384" s="322"/>
      <c r="E384" s="201"/>
      <c r="F384" s="202"/>
    </row>
    <row r="385" spans="2:6">
      <c r="B385" s="27"/>
      <c r="C385" s="27"/>
      <c r="D385" s="322"/>
      <c r="E385" s="201"/>
      <c r="F385" s="202"/>
    </row>
    <row r="386" spans="2:6">
      <c r="B386" s="27"/>
      <c r="C386" s="27"/>
      <c r="D386" s="322"/>
      <c r="E386" s="201"/>
      <c r="F386" s="202"/>
    </row>
    <row r="387" spans="2:6">
      <c r="B387" s="27"/>
      <c r="C387" s="27"/>
      <c r="D387" s="322"/>
      <c r="E387" s="201"/>
      <c r="F387" s="202"/>
    </row>
    <row r="388" spans="2:6">
      <c r="B388" s="27"/>
      <c r="C388" s="27"/>
      <c r="D388" s="322"/>
      <c r="E388" s="201"/>
      <c r="F388" s="202"/>
    </row>
    <row r="389" spans="2:6">
      <c r="B389" s="27"/>
      <c r="C389" s="27"/>
      <c r="D389" s="322"/>
      <c r="E389" s="201"/>
      <c r="F389" s="202"/>
    </row>
    <row r="390" spans="2:6">
      <c r="B390" s="27"/>
      <c r="C390" s="27"/>
      <c r="D390" s="322"/>
      <c r="E390" s="201"/>
      <c r="F390" s="202"/>
    </row>
    <row r="391" spans="2:6">
      <c r="B391" s="27"/>
      <c r="C391" s="27"/>
      <c r="D391" s="322"/>
      <c r="E391" s="201"/>
      <c r="F391" s="202"/>
    </row>
    <row r="392" spans="2:6">
      <c r="B392" s="27"/>
      <c r="C392" s="27"/>
      <c r="D392" s="322"/>
      <c r="E392" s="201"/>
      <c r="F392" s="202"/>
    </row>
    <row r="393" spans="2:6">
      <c r="B393" s="27"/>
      <c r="C393" s="27"/>
      <c r="D393" s="322"/>
      <c r="E393" s="201"/>
      <c r="F393" s="202"/>
    </row>
    <row r="394" spans="2:6">
      <c r="B394" s="27"/>
      <c r="C394" s="27"/>
      <c r="D394" s="322"/>
      <c r="E394" s="201"/>
      <c r="F394" s="202"/>
    </row>
    <row r="395" spans="2:6">
      <c r="B395" s="27"/>
      <c r="C395" s="27"/>
      <c r="D395" s="322"/>
      <c r="E395" s="201"/>
      <c r="F395" s="202"/>
    </row>
    <row r="396" spans="2:6">
      <c r="B396" s="27"/>
      <c r="C396" s="27"/>
      <c r="D396" s="322"/>
      <c r="E396" s="201"/>
      <c r="F396" s="202"/>
    </row>
    <row r="397" spans="2:6">
      <c r="B397" s="165"/>
      <c r="C397" s="27"/>
      <c r="D397" s="322"/>
      <c r="E397" s="100"/>
      <c r="F397" s="202"/>
    </row>
    <row r="398" spans="2:6">
      <c r="B398" s="165"/>
      <c r="C398" s="27"/>
      <c r="D398" s="322"/>
      <c r="E398" s="100"/>
      <c r="F398" s="202"/>
    </row>
    <row r="399" spans="2:6">
      <c r="B399" s="165"/>
      <c r="C399" s="27"/>
      <c r="D399" s="322"/>
      <c r="E399" s="100"/>
      <c r="F399" s="202"/>
    </row>
    <row r="400" spans="2:6">
      <c r="B400" s="165"/>
      <c r="C400" s="27"/>
      <c r="D400" s="322"/>
      <c r="E400" s="100"/>
      <c r="F400" s="202"/>
    </row>
    <row r="401" spans="2:6">
      <c r="B401" s="165"/>
      <c r="C401" s="27"/>
      <c r="D401" s="322"/>
      <c r="E401" s="100"/>
      <c r="F401" s="202"/>
    </row>
    <row r="402" spans="2:6">
      <c r="B402" s="165"/>
      <c r="C402" s="27"/>
      <c r="D402" s="322"/>
      <c r="E402" s="100"/>
      <c r="F402" s="202"/>
    </row>
    <row r="403" spans="2:6">
      <c r="B403" s="165"/>
      <c r="C403" s="27"/>
      <c r="D403" s="322"/>
      <c r="E403" s="100"/>
      <c r="F403" s="202"/>
    </row>
    <row r="404" spans="2:6">
      <c r="B404" s="165"/>
      <c r="C404" s="27"/>
      <c r="D404" s="322"/>
      <c r="E404" s="100"/>
      <c r="F404" s="202"/>
    </row>
    <row r="405" spans="2:6">
      <c r="B405" s="165"/>
      <c r="C405" s="27"/>
      <c r="D405" s="322"/>
      <c r="E405" s="100"/>
      <c r="F405" s="202"/>
    </row>
    <row r="406" spans="2:6">
      <c r="B406" s="165"/>
      <c r="C406" s="27"/>
      <c r="D406" s="322"/>
      <c r="E406" s="100"/>
      <c r="F406" s="202"/>
    </row>
    <row r="407" spans="2:6">
      <c r="B407" s="165"/>
      <c r="C407" s="27"/>
      <c r="D407" s="322"/>
      <c r="E407" s="100"/>
      <c r="F407" s="202"/>
    </row>
    <row r="408" spans="2:6">
      <c r="B408" s="165"/>
      <c r="C408" s="27"/>
      <c r="D408" s="322"/>
      <c r="E408" s="100"/>
      <c r="F408" s="202"/>
    </row>
    <row r="409" spans="2:6">
      <c r="B409" s="165"/>
      <c r="C409" s="27"/>
      <c r="D409" s="322"/>
      <c r="E409" s="100"/>
      <c r="F409" s="202"/>
    </row>
    <row r="410" spans="2:6">
      <c r="B410" s="165"/>
      <c r="C410" s="27"/>
      <c r="D410" s="322"/>
      <c r="E410" s="100"/>
      <c r="F410" s="202"/>
    </row>
    <row r="411" spans="2:6">
      <c r="B411" s="165"/>
      <c r="C411" s="27"/>
      <c r="D411" s="322"/>
      <c r="E411" s="100"/>
      <c r="F411" s="202"/>
    </row>
    <row r="412" spans="2:6">
      <c r="B412" s="165"/>
      <c r="C412" s="27"/>
      <c r="D412" s="322"/>
      <c r="E412" s="100"/>
      <c r="F412" s="202"/>
    </row>
    <row r="413" spans="2:6">
      <c r="B413" s="165"/>
      <c r="C413" s="27"/>
      <c r="D413" s="322"/>
      <c r="E413" s="100"/>
      <c r="F413" s="202"/>
    </row>
    <row r="414" spans="2:6">
      <c r="B414" s="165"/>
      <c r="C414" s="27"/>
      <c r="D414" s="322"/>
      <c r="E414" s="100"/>
      <c r="F414" s="202"/>
    </row>
    <row r="415" spans="2:6">
      <c r="B415" s="165"/>
      <c r="C415" s="27"/>
      <c r="D415" s="322"/>
      <c r="E415" s="100"/>
      <c r="F415" s="202"/>
    </row>
    <row r="416" spans="2:6">
      <c r="B416" s="165"/>
      <c r="C416" s="27"/>
      <c r="D416" s="322"/>
      <c r="E416" s="100"/>
      <c r="F416" s="202"/>
    </row>
    <row r="417" spans="2:6">
      <c r="B417" s="165"/>
      <c r="C417" s="27"/>
      <c r="D417" s="322"/>
      <c r="E417" s="100"/>
      <c r="F417" s="202"/>
    </row>
    <row r="418" spans="2:6">
      <c r="B418" s="165"/>
      <c r="C418" s="27"/>
      <c r="D418" s="322"/>
      <c r="E418" s="100"/>
      <c r="F418" s="202"/>
    </row>
    <row r="419" spans="2:6">
      <c r="B419" s="165"/>
      <c r="C419" s="27"/>
      <c r="D419" s="322"/>
      <c r="E419" s="100"/>
      <c r="F419" s="202"/>
    </row>
    <row r="420" spans="2:6">
      <c r="B420" s="165"/>
      <c r="C420" s="27"/>
      <c r="D420" s="322"/>
      <c r="E420" s="100"/>
      <c r="F420" s="202"/>
    </row>
    <row r="421" spans="2:6">
      <c r="B421" s="165"/>
      <c r="C421" s="27"/>
      <c r="D421" s="322"/>
      <c r="E421" s="100"/>
      <c r="F421" s="202"/>
    </row>
    <row r="422" spans="2:6">
      <c r="B422" s="165"/>
      <c r="C422" s="27"/>
      <c r="D422" s="322"/>
      <c r="E422" s="100"/>
      <c r="F422" s="202"/>
    </row>
    <row r="423" spans="2:6">
      <c r="B423" s="165"/>
      <c r="C423" s="27"/>
      <c r="D423" s="322"/>
      <c r="E423" s="100"/>
      <c r="F423" s="202"/>
    </row>
    <row r="424" spans="2:6">
      <c r="B424" s="165"/>
      <c r="C424" s="27"/>
      <c r="D424" s="322"/>
      <c r="E424" s="100"/>
      <c r="F424" s="202"/>
    </row>
    <row r="425" spans="2:6">
      <c r="B425" s="165"/>
      <c r="C425" s="27"/>
      <c r="D425" s="322"/>
      <c r="E425" s="100"/>
      <c r="F425" s="202"/>
    </row>
    <row r="426" spans="2:6">
      <c r="B426" s="165"/>
      <c r="C426" s="27"/>
      <c r="D426" s="322"/>
      <c r="E426" s="100"/>
      <c r="F426" s="202"/>
    </row>
    <row r="427" spans="2:6">
      <c r="B427" s="165"/>
      <c r="C427" s="27"/>
      <c r="D427" s="322"/>
      <c r="E427" s="100"/>
      <c r="F427" s="202"/>
    </row>
    <row r="428" spans="2:6">
      <c r="B428" s="165"/>
      <c r="C428" s="27"/>
      <c r="D428" s="322"/>
      <c r="E428" s="100"/>
      <c r="F428" s="202"/>
    </row>
    <row r="429" spans="2:6">
      <c r="B429" s="165"/>
      <c r="C429" s="27"/>
      <c r="D429" s="322"/>
      <c r="E429" s="100"/>
      <c r="F429" s="202"/>
    </row>
    <row r="430" spans="2:6">
      <c r="B430" s="165"/>
      <c r="C430" s="27"/>
      <c r="D430" s="322"/>
      <c r="E430" s="100"/>
      <c r="F430" s="202"/>
    </row>
    <row r="431" spans="2:6">
      <c r="B431" s="165"/>
      <c r="C431" s="27"/>
      <c r="D431" s="322"/>
      <c r="E431" s="100"/>
      <c r="F431" s="202"/>
    </row>
    <row r="432" spans="2:6">
      <c r="B432" s="165"/>
      <c r="C432" s="27"/>
      <c r="D432" s="322"/>
      <c r="E432" s="100"/>
      <c r="F432" s="202"/>
    </row>
    <row r="433" spans="2:6">
      <c r="B433" s="165"/>
      <c r="C433" s="27"/>
      <c r="D433" s="322"/>
      <c r="E433" s="100"/>
      <c r="F433" s="202"/>
    </row>
    <row r="434" spans="2:6">
      <c r="B434" s="165"/>
      <c r="C434" s="27"/>
      <c r="D434" s="322"/>
      <c r="E434" s="100"/>
      <c r="F434" s="202"/>
    </row>
    <row r="435" spans="2:6">
      <c r="B435" s="165"/>
      <c r="C435" s="27"/>
      <c r="D435" s="322"/>
      <c r="E435" s="100"/>
      <c r="F435" s="202"/>
    </row>
    <row r="436" spans="2:6">
      <c r="B436" s="165"/>
      <c r="C436" s="27"/>
      <c r="D436" s="322"/>
      <c r="E436" s="100"/>
      <c r="F436" s="202"/>
    </row>
    <row r="437" spans="2:6">
      <c r="B437" s="165"/>
      <c r="C437" s="27"/>
      <c r="D437" s="322"/>
      <c r="E437" s="100"/>
      <c r="F437" s="202"/>
    </row>
    <row r="438" spans="2:6">
      <c r="B438" s="165"/>
      <c r="C438" s="27"/>
      <c r="D438" s="322"/>
      <c r="E438" s="100"/>
      <c r="F438" s="202"/>
    </row>
    <row r="439" spans="2:6">
      <c r="B439" s="165"/>
      <c r="C439" s="27"/>
      <c r="D439" s="322"/>
      <c r="E439" s="100"/>
      <c r="F439" s="202"/>
    </row>
    <row r="440" spans="2:6">
      <c r="B440" s="165"/>
      <c r="C440" s="27"/>
      <c r="D440" s="322"/>
      <c r="E440" s="100"/>
      <c r="F440" s="202"/>
    </row>
    <row r="441" spans="2:6">
      <c r="B441" s="165"/>
      <c r="C441" s="27"/>
      <c r="D441" s="322"/>
      <c r="E441" s="100"/>
      <c r="F441" s="202"/>
    </row>
    <row r="442" spans="2:6">
      <c r="B442" s="165"/>
      <c r="C442" s="27"/>
      <c r="D442" s="322"/>
      <c r="E442" s="100"/>
      <c r="F442" s="202"/>
    </row>
    <row r="443" spans="2:6">
      <c r="B443" s="165"/>
      <c r="C443" s="27"/>
      <c r="D443" s="322"/>
      <c r="E443" s="100"/>
      <c r="F443" s="202"/>
    </row>
    <row r="444" spans="2:6">
      <c r="B444" s="165"/>
      <c r="C444" s="27"/>
      <c r="D444" s="322"/>
      <c r="E444" s="100"/>
      <c r="F444" s="202"/>
    </row>
    <row r="445" spans="2:6">
      <c r="B445" s="165"/>
      <c r="C445" s="27"/>
      <c r="D445" s="322"/>
      <c r="E445" s="100"/>
      <c r="F445" s="202"/>
    </row>
    <row r="446" spans="2:6">
      <c r="B446" s="165"/>
      <c r="C446" s="27"/>
      <c r="D446" s="322"/>
      <c r="E446" s="100"/>
      <c r="F446" s="202"/>
    </row>
    <row r="447" spans="2:6">
      <c r="B447" s="165"/>
      <c r="C447" s="27"/>
      <c r="D447" s="322"/>
      <c r="E447" s="100"/>
      <c r="F447" s="202"/>
    </row>
    <row r="448" spans="2:6">
      <c r="B448" s="165"/>
      <c r="C448" s="27"/>
      <c r="D448" s="322"/>
      <c r="E448" s="100"/>
      <c r="F448" s="202"/>
    </row>
    <row r="449" spans="2:6">
      <c r="B449" s="165"/>
      <c r="C449" s="27"/>
      <c r="D449" s="322"/>
      <c r="E449" s="100"/>
      <c r="F449" s="202"/>
    </row>
    <row r="450" spans="2:6">
      <c r="B450" s="165"/>
      <c r="C450" s="27"/>
      <c r="D450" s="322"/>
      <c r="E450" s="100"/>
      <c r="F450" s="202"/>
    </row>
    <row r="451" spans="2:6">
      <c r="B451" s="165"/>
      <c r="C451" s="27"/>
      <c r="D451" s="322"/>
      <c r="E451" s="100"/>
      <c r="F451" s="202"/>
    </row>
    <row r="452" spans="2:6">
      <c r="B452" s="27"/>
      <c r="C452" s="27"/>
      <c r="D452" s="322"/>
      <c r="E452" s="201"/>
      <c r="F452" s="202"/>
    </row>
    <row r="453" spans="2:6">
      <c r="B453" s="27"/>
      <c r="C453" s="27"/>
      <c r="D453" s="322"/>
      <c r="E453" s="201"/>
      <c r="F453" s="202"/>
    </row>
    <row r="454" spans="2:6">
      <c r="B454" s="27"/>
      <c r="C454" s="27"/>
      <c r="D454" s="322"/>
      <c r="E454" s="201"/>
      <c r="F454" s="202"/>
    </row>
    <row r="455" spans="2:6">
      <c r="B455" s="27"/>
      <c r="C455" s="27"/>
      <c r="D455" s="322"/>
      <c r="E455" s="201"/>
      <c r="F455" s="202"/>
    </row>
    <row r="456" spans="2:6">
      <c r="B456" s="27"/>
      <c r="C456" s="27"/>
      <c r="D456" s="322"/>
      <c r="E456" s="201"/>
      <c r="F456" s="202"/>
    </row>
    <row r="457" spans="2:6">
      <c r="B457" s="27"/>
      <c r="C457" s="27"/>
      <c r="D457" s="322"/>
      <c r="E457" s="201"/>
      <c r="F457" s="202"/>
    </row>
    <row r="458" spans="2:6">
      <c r="B458" s="27"/>
      <c r="C458" s="27"/>
      <c r="D458" s="322"/>
      <c r="E458" s="201"/>
      <c r="F458" s="202"/>
    </row>
    <row r="459" spans="2:6">
      <c r="B459" s="27"/>
      <c r="C459" s="27"/>
      <c r="D459" s="322"/>
      <c r="E459" s="201"/>
      <c r="F459" s="202"/>
    </row>
    <row r="460" spans="2:6">
      <c r="B460" s="27"/>
      <c r="C460" s="27"/>
      <c r="D460" s="322"/>
      <c r="E460" s="201"/>
      <c r="F460" s="202"/>
    </row>
    <row r="461" spans="2:6">
      <c r="B461" s="27"/>
      <c r="C461" s="27"/>
      <c r="D461" s="322"/>
      <c r="E461" s="201"/>
      <c r="F461" s="202"/>
    </row>
    <row r="462" spans="2:6">
      <c r="B462" s="27"/>
      <c r="C462" s="27"/>
      <c r="D462" s="322"/>
      <c r="E462" s="201"/>
      <c r="F462" s="202"/>
    </row>
    <row r="463" spans="2:6">
      <c r="B463" s="27"/>
      <c r="C463" s="27"/>
      <c r="D463" s="322"/>
      <c r="E463" s="201"/>
      <c r="F463" s="202"/>
    </row>
    <row r="464" spans="2:6">
      <c r="B464" s="27"/>
      <c r="C464" s="27"/>
      <c r="D464" s="322"/>
      <c r="E464" s="201"/>
      <c r="F464" s="202"/>
    </row>
    <row r="465" spans="2:6">
      <c r="B465" s="27"/>
      <c r="C465" s="27"/>
      <c r="D465" s="322"/>
      <c r="E465" s="201"/>
      <c r="F465" s="202"/>
    </row>
    <row r="466" spans="2:6">
      <c r="B466" s="27"/>
      <c r="C466" s="27"/>
      <c r="D466" s="322"/>
      <c r="E466" s="201"/>
      <c r="F466" s="202"/>
    </row>
    <row r="467" spans="2:6">
      <c r="B467" s="27"/>
      <c r="C467" s="27"/>
      <c r="D467" s="322"/>
      <c r="E467" s="201"/>
      <c r="F467" s="202"/>
    </row>
    <row r="468" spans="2:6">
      <c r="B468" s="27"/>
      <c r="C468" s="27"/>
      <c r="D468" s="322"/>
      <c r="E468" s="201"/>
      <c r="F468" s="202"/>
    </row>
    <row r="469" spans="2:6">
      <c r="B469" s="27"/>
      <c r="C469" s="27"/>
      <c r="D469" s="322"/>
      <c r="E469" s="201"/>
      <c r="F469" s="202"/>
    </row>
    <row r="470" spans="2:6">
      <c r="B470" s="27"/>
      <c r="C470" s="27"/>
      <c r="D470" s="322"/>
      <c r="E470" s="201"/>
      <c r="F470" s="202"/>
    </row>
    <row r="471" spans="2:6">
      <c r="B471" s="27"/>
      <c r="C471" s="27"/>
      <c r="D471" s="322"/>
      <c r="E471" s="201"/>
      <c r="F471" s="202"/>
    </row>
    <row r="472" spans="2:6">
      <c r="B472" s="27"/>
      <c r="C472" s="27"/>
      <c r="D472" s="322"/>
      <c r="E472" s="201"/>
      <c r="F472" s="202"/>
    </row>
    <row r="473" spans="2:6">
      <c r="B473" s="27"/>
      <c r="C473" s="27"/>
      <c r="D473" s="322"/>
      <c r="E473" s="201"/>
      <c r="F473" s="202"/>
    </row>
    <row r="474" spans="2:6">
      <c r="B474" s="27"/>
      <c r="C474" s="27"/>
      <c r="D474" s="322"/>
      <c r="E474" s="201"/>
      <c r="F474" s="202"/>
    </row>
    <row r="475" spans="2:6">
      <c r="B475" s="27"/>
      <c r="C475" s="27"/>
      <c r="D475" s="322"/>
      <c r="E475" s="201"/>
      <c r="F475" s="202"/>
    </row>
    <row r="476" spans="2:6">
      <c r="B476" s="27"/>
      <c r="C476" s="27"/>
      <c r="D476" s="322"/>
      <c r="E476" s="201"/>
      <c r="F476" s="202"/>
    </row>
    <row r="477" spans="2:6">
      <c r="B477" s="27"/>
      <c r="C477" s="27"/>
      <c r="D477" s="322"/>
      <c r="E477" s="201"/>
      <c r="F477" s="202"/>
    </row>
    <row r="478" spans="2:6">
      <c r="B478" s="27"/>
      <c r="C478" s="27"/>
      <c r="D478" s="322"/>
      <c r="E478" s="201"/>
      <c r="F478" s="202"/>
    </row>
    <row r="479" spans="2:6">
      <c r="B479" s="27"/>
      <c r="C479" s="27"/>
      <c r="D479" s="322"/>
      <c r="E479" s="201"/>
      <c r="F479" s="202"/>
    </row>
    <row r="480" spans="2:6">
      <c r="B480" s="27"/>
      <c r="C480" s="27"/>
      <c r="D480" s="322"/>
      <c r="E480" s="201"/>
      <c r="F480" s="202"/>
    </row>
    <row r="481" spans="2:6">
      <c r="B481" s="27"/>
      <c r="C481" s="27"/>
      <c r="D481" s="322"/>
      <c r="E481" s="201"/>
      <c r="F481" s="202"/>
    </row>
    <row r="482" spans="2:6">
      <c r="B482" s="27"/>
      <c r="C482" s="27"/>
      <c r="D482" s="322"/>
      <c r="E482" s="201"/>
      <c r="F482" s="202"/>
    </row>
    <row r="483" spans="2:6">
      <c r="B483" s="27"/>
      <c r="C483" s="27"/>
      <c r="D483" s="322"/>
      <c r="E483" s="201"/>
      <c r="F483" s="202"/>
    </row>
    <row r="484" spans="2:6">
      <c r="B484" s="27"/>
      <c r="C484" s="27"/>
      <c r="D484" s="322"/>
      <c r="E484" s="201"/>
      <c r="F484" s="202"/>
    </row>
    <row r="485" spans="2:6">
      <c r="B485" s="27"/>
      <c r="C485" s="27"/>
      <c r="D485" s="322"/>
      <c r="E485" s="201"/>
      <c r="F485" s="202"/>
    </row>
    <row r="486" spans="2:6">
      <c r="B486" s="27"/>
      <c r="C486" s="27"/>
      <c r="D486" s="322"/>
      <c r="E486" s="201"/>
      <c r="F486" s="202"/>
    </row>
    <row r="487" spans="2:6">
      <c r="B487" s="27"/>
      <c r="C487" s="27"/>
      <c r="D487" s="322"/>
      <c r="E487" s="201"/>
      <c r="F487" s="202"/>
    </row>
    <row r="488" spans="2:6">
      <c r="B488" s="27"/>
      <c r="C488" s="27"/>
      <c r="D488" s="322"/>
      <c r="E488" s="201"/>
      <c r="F488" s="202"/>
    </row>
    <row r="489" spans="2:6">
      <c r="B489" s="27"/>
      <c r="C489" s="27"/>
      <c r="D489" s="322"/>
      <c r="E489" s="201"/>
      <c r="F489" s="202"/>
    </row>
    <row r="490" spans="2:6">
      <c r="B490" s="27"/>
      <c r="C490" s="27"/>
      <c r="D490" s="322"/>
      <c r="E490" s="201"/>
      <c r="F490" s="202"/>
    </row>
    <row r="491" spans="2:6">
      <c r="B491" s="27"/>
      <c r="C491" s="27"/>
      <c r="D491" s="322"/>
      <c r="E491" s="201"/>
      <c r="F491" s="202"/>
    </row>
    <row r="492" spans="2:6">
      <c r="B492" s="27"/>
      <c r="C492" s="27"/>
      <c r="D492" s="322"/>
      <c r="E492" s="201"/>
      <c r="F492" s="202"/>
    </row>
    <row r="493" spans="2:6">
      <c r="B493" s="27"/>
      <c r="C493" s="27"/>
      <c r="D493" s="322"/>
      <c r="E493" s="201"/>
      <c r="F493" s="202"/>
    </row>
    <row r="494" spans="2:6">
      <c r="B494" s="27"/>
      <c r="C494" s="27"/>
      <c r="D494" s="322"/>
      <c r="E494" s="201"/>
      <c r="F494" s="202"/>
    </row>
    <row r="495" spans="2:6">
      <c r="B495" s="27"/>
      <c r="C495" s="27"/>
      <c r="D495" s="322"/>
      <c r="E495" s="201"/>
      <c r="F495" s="202"/>
    </row>
    <row r="496" spans="2:6">
      <c r="B496" s="27"/>
      <c r="C496" s="27"/>
      <c r="D496" s="322"/>
      <c r="E496" s="201"/>
      <c r="F496" s="202"/>
    </row>
    <row r="497" spans="2:6">
      <c r="B497" s="27"/>
      <c r="C497" s="27"/>
      <c r="D497" s="322"/>
      <c r="E497" s="201"/>
      <c r="F497" s="202"/>
    </row>
    <row r="498" spans="2:6">
      <c r="B498" s="27"/>
      <c r="C498" s="27"/>
      <c r="D498" s="322"/>
      <c r="E498" s="201"/>
      <c r="F498" s="202"/>
    </row>
    <row r="499" spans="2:6">
      <c r="B499" s="27"/>
      <c r="C499" s="27"/>
      <c r="D499" s="322"/>
      <c r="E499" s="201"/>
      <c r="F499" s="202"/>
    </row>
    <row r="500" spans="2:6">
      <c r="B500" s="27"/>
      <c r="C500" s="27"/>
      <c r="D500" s="322"/>
      <c r="E500" s="201"/>
      <c r="F500" s="202"/>
    </row>
    <row r="501" spans="2:6">
      <c r="B501" s="27"/>
      <c r="C501" s="27"/>
      <c r="D501" s="322"/>
      <c r="E501" s="201"/>
      <c r="F501" s="202"/>
    </row>
    <row r="502" spans="2:6">
      <c r="B502" s="27"/>
      <c r="C502" s="27"/>
      <c r="D502" s="322"/>
      <c r="E502" s="201"/>
      <c r="F502" s="202"/>
    </row>
    <row r="503" spans="2:6">
      <c r="B503" s="27"/>
      <c r="C503" s="27"/>
      <c r="D503" s="322"/>
      <c r="E503" s="201"/>
      <c r="F503" s="202"/>
    </row>
    <row r="504" spans="2:6">
      <c r="B504" s="27"/>
      <c r="C504" s="27"/>
      <c r="D504" s="322"/>
      <c r="E504" s="201"/>
      <c r="F504" s="202"/>
    </row>
    <row r="505" spans="2:6">
      <c r="B505" s="27"/>
      <c r="C505" s="27"/>
      <c r="D505" s="322"/>
      <c r="E505" s="201"/>
      <c r="F505" s="202"/>
    </row>
    <row r="506" spans="2:6">
      <c r="B506" s="27"/>
      <c r="C506" s="27"/>
      <c r="D506" s="322"/>
      <c r="E506" s="201"/>
      <c r="F506" s="202"/>
    </row>
    <row r="507" spans="2:6">
      <c r="B507" s="27"/>
      <c r="C507" s="27"/>
      <c r="D507" s="322"/>
      <c r="E507" s="201"/>
      <c r="F507" s="202"/>
    </row>
    <row r="508" spans="2:6">
      <c r="B508" s="27"/>
      <c r="C508" s="27"/>
      <c r="D508" s="322"/>
      <c r="E508" s="201"/>
      <c r="F508" s="202"/>
    </row>
    <row r="509" spans="2:6">
      <c r="B509" s="27"/>
      <c r="C509" s="27"/>
      <c r="D509" s="322"/>
      <c r="E509" s="201"/>
      <c r="F509" s="202"/>
    </row>
    <row r="510" spans="2:6">
      <c r="B510" s="27"/>
      <c r="C510" s="27"/>
      <c r="D510" s="322"/>
      <c r="E510" s="201"/>
      <c r="F510" s="202"/>
    </row>
    <row r="511" spans="2:6">
      <c r="B511" s="27"/>
      <c r="C511" s="27"/>
      <c r="D511" s="322"/>
      <c r="E511" s="201"/>
      <c r="F511" s="202"/>
    </row>
    <row r="512" spans="2:6">
      <c r="B512" s="27" t="s">
        <v>425</v>
      </c>
      <c r="C512" s="27" t="s">
        <v>65</v>
      </c>
      <c r="D512" s="322">
        <v>5101005087</v>
      </c>
      <c r="E512" s="201">
        <v>1862.16</v>
      </c>
      <c r="F512" s="202" t="s">
        <v>588</v>
      </c>
    </row>
    <row r="513" spans="2:5">
      <c r="B513" s="472" t="s">
        <v>56</v>
      </c>
      <c r="C513" s="472"/>
      <c r="D513" s="472"/>
      <c r="E513" s="49">
        <f>SUM(E338:E512)</f>
        <v>1862.16</v>
      </c>
    </row>
  </sheetData>
  <sortState xmlns:xlrd2="http://schemas.microsoft.com/office/spreadsheetml/2017/richdata2" ref="B33:U88">
    <sortCondition ref="D33:D88"/>
  </sortState>
  <mergeCells count="18">
    <mergeCell ref="B2:T2"/>
    <mergeCell ref="H3:J3"/>
    <mergeCell ref="K3:M3"/>
    <mergeCell ref="E3:G3"/>
    <mergeCell ref="N3:O3"/>
    <mergeCell ref="B3:B4"/>
    <mergeCell ref="C3:C4"/>
    <mergeCell ref="D3:D4"/>
    <mergeCell ref="T3:T4"/>
    <mergeCell ref="P3:Q3"/>
    <mergeCell ref="R3:S3"/>
    <mergeCell ref="B336:F336"/>
    <mergeCell ref="B513:D513"/>
    <mergeCell ref="B332:D332"/>
    <mergeCell ref="B174:D174"/>
    <mergeCell ref="B246:D246"/>
    <mergeCell ref="B178:F178"/>
    <mergeCell ref="B251:F251"/>
  </mergeCells>
  <phoneticPr fontId="1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2809A-43A4-4628-85E0-1E6696C67458}">
  <dimension ref="B1:T38"/>
  <sheetViews>
    <sheetView zoomScale="80" zoomScaleNormal="80" workbookViewId="0">
      <pane xSplit="3" ySplit="4" topLeftCell="D20" activePane="bottomRight" state="frozen"/>
      <selection pane="topRight" activeCell="D1" sqref="D1"/>
      <selection pane="bottomLeft" activeCell="A5" sqref="A5"/>
      <selection pane="bottomRight" activeCell="T21" sqref="T21:T29"/>
    </sheetView>
  </sheetViews>
  <sheetFormatPr defaultColWidth="9.19921875" defaultRowHeight="13.15"/>
  <cols>
    <col min="1" max="1" width="9.19921875" style="143"/>
    <col min="2" max="2" width="33.73046875" style="143" bestFit="1" customWidth="1"/>
    <col min="3" max="3" width="39.796875" style="143" bestFit="1" customWidth="1"/>
    <col min="4" max="4" width="16" style="143" bestFit="1" customWidth="1"/>
    <col min="5" max="5" width="12.46484375" style="143" customWidth="1"/>
    <col min="6" max="6" width="12.265625" style="143" customWidth="1"/>
    <col min="7" max="7" width="14.265625" style="143" customWidth="1"/>
    <col min="8" max="8" width="12.46484375" style="143" bestFit="1" customWidth="1"/>
    <col min="9" max="9" width="12.46484375" style="143" customWidth="1"/>
    <col min="10" max="10" width="14" style="143" customWidth="1"/>
    <col min="11" max="11" width="40.19921875" style="143" bestFit="1" customWidth="1"/>
    <col min="12" max="13" width="17.796875" style="226" customWidth="1"/>
    <col min="14" max="14" width="14.46484375" style="226" bestFit="1" customWidth="1"/>
    <col min="15" max="15" width="49.33203125" style="143" bestFit="1" customWidth="1"/>
    <col min="16" max="16" width="12.19921875" style="143" hidden="1" customWidth="1"/>
    <col min="17" max="17" width="0.19921875" style="143" hidden="1" customWidth="1"/>
    <col min="18" max="18" width="17.9296875" style="143" customWidth="1"/>
    <col min="19" max="19" width="14.46484375" style="143" bestFit="1" customWidth="1"/>
    <col min="20" max="20" width="33.46484375" style="143" customWidth="1"/>
    <col min="21" max="16384" width="9.19921875" style="143"/>
  </cols>
  <sheetData>
    <row r="1" spans="2:20" ht="13.5" thickBot="1"/>
    <row r="2" spans="2:20" ht="13.5" thickBot="1">
      <c r="B2" s="493" t="s">
        <v>452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5"/>
    </row>
    <row r="3" spans="2:20" ht="26.25">
      <c r="B3" s="474" t="s">
        <v>423</v>
      </c>
      <c r="C3" s="474" t="s">
        <v>45</v>
      </c>
      <c r="D3" s="476" t="s">
        <v>548</v>
      </c>
      <c r="E3" s="491" t="s">
        <v>542</v>
      </c>
      <c r="F3" s="474"/>
      <c r="G3" s="492"/>
      <c r="H3" s="265" t="s">
        <v>483</v>
      </c>
      <c r="I3" s="488" t="s">
        <v>542</v>
      </c>
      <c r="J3" s="489"/>
      <c r="K3" s="490"/>
      <c r="L3" s="491" t="s">
        <v>590</v>
      </c>
      <c r="M3" s="489"/>
      <c r="N3" s="489"/>
      <c r="O3" s="492"/>
      <c r="R3" s="496"/>
      <c r="S3" s="496"/>
      <c r="T3" s="497"/>
    </row>
    <row r="4" spans="2:20" ht="26.25">
      <c r="B4" s="472"/>
      <c r="C4" s="472"/>
      <c r="D4" s="470"/>
      <c r="E4" s="101" t="s">
        <v>543</v>
      </c>
      <c r="F4" s="43" t="s">
        <v>63</v>
      </c>
      <c r="G4" s="103" t="s">
        <v>94</v>
      </c>
      <c r="H4" s="110" t="s">
        <v>541</v>
      </c>
      <c r="I4" s="101" t="s">
        <v>541</v>
      </c>
      <c r="J4" s="43" t="s">
        <v>63</v>
      </c>
      <c r="K4" s="103" t="s">
        <v>94</v>
      </c>
      <c r="L4" s="140" t="s">
        <v>541</v>
      </c>
      <c r="M4" s="142" t="s">
        <v>554</v>
      </c>
      <c r="N4" s="103" t="s">
        <v>94</v>
      </c>
      <c r="O4" s="103" t="s">
        <v>555</v>
      </c>
      <c r="R4" s="268" t="s">
        <v>541</v>
      </c>
      <c r="S4" s="269" t="s">
        <v>94</v>
      </c>
      <c r="T4" s="269" t="s">
        <v>555</v>
      </c>
    </row>
    <row r="5" spans="2:20">
      <c r="B5" s="27" t="s">
        <v>537</v>
      </c>
      <c r="C5" s="27"/>
      <c r="D5" s="144"/>
      <c r="E5" s="145"/>
      <c r="F5" s="27"/>
      <c r="G5" s="146"/>
      <c r="H5" s="147"/>
      <c r="I5" s="145"/>
      <c r="J5" s="27"/>
      <c r="K5" s="146"/>
      <c r="L5" s="148"/>
      <c r="M5" s="149"/>
      <c r="N5" s="146"/>
      <c r="O5" s="146"/>
      <c r="R5" s="149"/>
      <c r="S5" s="146"/>
      <c r="T5" s="146"/>
    </row>
    <row r="6" spans="2:20">
      <c r="B6" s="27" t="s">
        <v>426</v>
      </c>
      <c r="C6" s="27" t="s">
        <v>559</v>
      </c>
      <c r="D6" s="150">
        <v>1999</v>
      </c>
      <c r="E6" s="148">
        <v>16086.640000000001</v>
      </c>
      <c r="F6" s="151">
        <v>42122</v>
      </c>
      <c r="G6" s="152" t="s">
        <v>105</v>
      </c>
      <c r="H6" s="153">
        <f>622.31+674.32</f>
        <v>1296.6300000000001</v>
      </c>
      <c r="I6" s="148"/>
      <c r="J6" s="154">
        <v>36201</v>
      </c>
      <c r="K6" s="152" t="s">
        <v>442</v>
      </c>
      <c r="L6" s="155">
        <f>H6</f>
        <v>1296.6300000000001</v>
      </c>
      <c r="M6" s="156"/>
      <c r="N6" s="152"/>
      <c r="O6" s="190" t="s">
        <v>573</v>
      </c>
      <c r="P6" s="157" t="str">
        <f t="shared" ref="P6:P28" si="0">"R$ "&amp;H6</f>
        <v>R$ 1296,63</v>
      </c>
      <c r="Q6" s="143" t="str">
        <f t="shared" ref="Q6:Q28" si="1">B6&amp;"-"&amp;C6&amp;""&amp;D6&amp;"-"&amp;P6&amp;";"</f>
        <v>Municipio de Joinville-IPTU - Ajuizada -  IM 13.20.15.81.2454.00001999-R$ 1296,63;</v>
      </c>
      <c r="R6" s="156"/>
      <c r="S6" s="152"/>
      <c r="T6" s="190"/>
    </row>
    <row r="7" spans="2:20">
      <c r="B7" s="27" t="s">
        <v>426</v>
      </c>
      <c r="C7" s="27" t="s">
        <v>559</v>
      </c>
      <c r="D7" s="150">
        <v>2000</v>
      </c>
      <c r="E7" s="148">
        <v>15262.960000000001</v>
      </c>
      <c r="F7" s="151">
        <v>42122</v>
      </c>
      <c r="G7" s="152" t="s">
        <v>106</v>
      </c>
      <c r="H7" s="153">
        <f>622.31+674.32</f>
        <v>1296.6300000000001</v>
      </c>
      <c r="I7" s="148"/>
      <c r="J7" s="154">
        <v>36566</v>
      </c>
      <c r="K7" s="152" t="s">
        <v>442</v>
      </c>
      <c r="L7" s="155">
        <f t="shared" ref="L7:L21" si="2">H7</f>
        <v>1296.6300000000001</v>
      </c>
      <c r="M7" s="156"/>
      <c r="N7" s="152"/>
      <c r="O7" s="190" t="s">
        <v>573</v>
      </c>
      <c r="P7" s="157" t="str">
        <f t="shared" si="0"/>
        <v>R$ 1296,63</v>
      </c>
      <c r="Q7" s="143" t="str">
        <f t="shared" si="1"/>
        <v>Municipio de Joinville-IPTU - Ajuizada -  IM 13.20.15.81.2454.00002000-R$ 1296,63;</v>
      </c>
      <c r="R7" s="156"/>
      <c r="S7" s="152"/>
      <c r="T7" s="190"/>
    </row>
    <row r="8" spans="2:20">
      <c r="B8" s="27" t="s">
        <v>426</v>
      </c>
      <c r="C8" s="27" t="s">
        <v>559</v>
      </c>
      <c r="D8" s="150">
        <v>2001</v>
      </c>
      <c r="E8" s="148">
        <v>16005.05</v>
      </c>
      <c r="F8" s="151">
        <v>42122</v>
      </c>
      <c r="G8" s="152" t="s">
        <v>107</v>
      </c>
      <c r="H8" s="153">
        <f>692.31+744.85</f>
        <v>1437.1599999999999</v>
      </c>
      <c r="I8" s="148"/>
      <c r="J8" s="154">
        <v>36934</v>
      </c>
      <c r="K8" s="152" t="s">
        <v>442</v>
      </c>
      <c r="L8" s="155">
        <f t="shared" si="2"/>
        <v>1437.1599999999999</v>
      </c>
      <c r="M8" s="156"/>
      <c r="N8" s="152"/>
      <c r="O8" s="190" t="s">
        <v>573</v>
      </c>
      <c r="P8" s="157" t="str">
        <f t="shared" si="0"/>
        <v>R$ 1437,16</v>
      </c>
      <c r="Q8" s="143" t="str">
        <f t="shared" si="1"/>
        <v>Municipio de Joinville-IPTU - Ajuizada -  IM 13.20.15.81.2454.00002001-R$ 1437,16;</v>
      </c>
      <c r="R8" s="156"/>
      <c r="S8" s="152"/>
      <c r="T8" s="190"/>
    </row>
    <row r="9" spans="2:20">
      <c r="B9" s="27" t="s">
        <v>426</v>
      </c>
      <c r="C9" s="27" t="s">
        <v>559</v>
      </c>
      <c r="D9" s="150">
        <v>2002</v>
      </c>
      <c r="E9" s="148">
        <v>15390.609999999999</v>
      </c>
      <c r="F9" s="151">
        <v>42122</v>
      </c>
      <c r="G9" s="152" t="s">
        <v>108</v>
      </c>
      <c r="H9" s="153">
        <f>767.27+698.24</f>
        <v>1465.51</v>
      </c>
      <c r="I9" s="148"/>
      <c r="J9" s="154">
        <v>37295</v>
      </c>
      <c r="K9" s="152" t="s">
        <v>442</v>
      </c>
      <c r="L9" s="155">
        <f t="shared" si="2"/>
        <v>1465.51</v>
      </c>
      <c r="M9" s="156"/>
      <c r="N9" s="152"/>
      <c r="O9" s="190" t="s">
        <v>573</v>
      </c>
      <c r="P9" s="157" t="str">
        <f t="shared" si="0"/>
        <v>R$ 1465,51</v>
      </c>
      <c r="Q9" s="143" t="str">
        <f t="shared" si="1"/>
        <v>Municipio de Joinville-IPTU - Ajuizada -  IM 13.20.15.81.2454.00002002-R$ 1465,51;</v>
      </c>
      <c r="R9" s="156"/>
      <c r="S9" s="152"/>
      <c r="T9" s="190"/>
    </row>
    <row r="10" spans="2:20">
      <c r="B10" s="27" t="s">
        <v>426</v>
      </c>
      <c r="C10" s="27" t="s">
        <v>559</v>
      </c>
      <c r="D10" s="150">
        <v>2003</v>
      </c>
      <c r="E10" s="148">
        <v>14473.82</v>
      </c>
      <c r="F10" s="151">
        <v>42122</v>
      </c>
      <c r="G10" s="152" t="s">
        <v>109</v>
      </c>
      <c r="H10" s="153">
        <f>1020.61+505.33</f>
        <v>1525.94</v>
      </c>
      <c r="I10" s="148"/>
      <c r="J10" s="154">
        <v>37662</v>
      </c>
      <c r="K10" s="152" t="s">
        <v>442</v>
      </c>
      <c r="L10" s="155">
        <f t="shared" si="2"/>
        <v>1525.94</v>
      </c>
      <c r="M10" s="156"/>
      <c r="N10" s="152"/>
      <c r="O10" s="190" t="s">
        <v>573</v>
      </c>
      <c r="P10" s="157" t="str">
        <f t="shared" si="0"/>
        <v>R$ 1525,94</v>
      </c>
      <c r="Q10" s="143" t="str">
        <f t="shared" si="1"/>
        <v>Municipio de Joinville-IPTU - Ajuizada -  IM 13.20.15.81.2454.00002003-R$ 1525,94;</v>
      </c>
      <c r="R10" s="156"/>
      <c r="S10" s="152"/>
      <c r="T10" s="190"/>
    </row>
    <row r="11" spans="2:20">
      <c r="B11" s="27" t="s">
        <v>426</v>
      </c>
      <c r="C11" s="27" t="s">
        <v>571</v>
      </c>
      <c r="D11" s="150">
        <v>2004</v>
      </c>
      <c r="E11" s="148">
        <v>13943.150000000001</v>
      </c>
      <c r="F11" s="151">
        <v>42122</v>
      </c>
      <c r="G11" s="152" t="s">
        <v>110</v>
      </c>
      <c r="H11" s="153">
        <f>1145.69+359.86</f>
        <v>1505.5500000000002</v>
      </c>
      <c r="I11" s="148"/>
      <c r="J11" s="154">
        <v>38153</v>
      </c>
      <c r="K11" s="152" t="s">
        <v>443</v>
      </c>
      <c r="L11" s="155">
        <f t="shared" si="2"/>
        <v>1505.5500000000002</v>
      </c>
      <c r="M11" s="156"/>
      <c r="N11" s="152"/>
      <c r="O11" s="190" t="s">
        <v>573</v>
      </c>
      <c r="P11" s="157" t="str">
        <f t="shared" si="0"/>
        <v>R$ 1505,55</v>
      </c>
      <c r="Q11" s="143" t="str">
        <f t="shared" si="1"/>
        <v>Municipio de Joinville-IPTU  - Dívida Ativa - IM 13.20.15.81.2454.00002004-R$ 1505,55;</v>
      </c>
      <c r="R11" s="156"/>
      <c r="S11" s="152"/>
      <c r="T11" s="190"/>
    </row>
    <row r="12" spans="2:20">
      <c r="B12" s="27" t="s">
        <v>426</v>
      </c>
      <c r="C12" s="27" t="s">
        <v>559</v>
      </c>
      <c r="D12" s="150">
        <v>2005</v>
      </c>
      <c r="E12" s="148">
        <v>13029.74</v>
      </c>
      <c r="F12" s="151">
        <v>42122</v>
      </c>
      <c r="G12" s="152" t="s">
        <v>111</v>
      </c>
      <c r="H12" s="153">
        <f>1286.41+291.29</f>
        <v>1577.7</v>
      </c>
      <c r="I12" s="148"/>
      <c r="J12" s="154">
        <v>38398</v>
      </c>
      <c r="K12" s="152" t="s">
        <v>443</v>
      </c>
      <c r="L12" s="155">
        <f t="shared" si="2"/>
        <v>1577.7</v>
      </c>
      <c r="M12" s="156"/>
      <c r="N12" s="152"/>
      <c r="O12" s="190" t="s">
        <v>573</v>
      </c>
      <c r="P12" s="157" t="str">
        <f t="shared" si="0"/>
        <v>R$ 1577,7</v>
      </c>
      <c r="Q12" s="143" t="str">
        <f t="shared" si="1"/>
        <v>Municipio de Joinville-IPTU - Ajuizada -  IM 13.20.15.81.2454.00002005-R$ 1577,7;</v>
      </c>
      <c r="R12" s="156"/>
      <c r="S12" s="152"/>
      <c r="T12" s="190"/>
    </row>
    <row r="13" spans="2:20">
      <c r="B13" s="27" t="s">
        <v>426</v>
      </c>
      <c r="C13" s="27" t="s">
        <v>559</v>
      </c>
      <c r="D13" s="150">
        <v>2006</v>
      </c>
      <c r="E13" s="148">
        <v>14469.480000000001</v>
      </c>
      <c r="F13" s="151">
        <v>42122</v>
      </c>
      <c r="G13" s="152" t="s">
        <v>112</v>
      </c>
      <c r="H13" s="153">
        <f>1452.35+269.92</f>
        <v>1722.27</v>
      </c>
      <c r="I13" s="148"/>
      <c r="J13" s="154">
        <v>38763</v>
      </c>
      <c r="K13" s="152" t="s">
        <v>443</v>
      </c>
      <c r="L13" s="155">
        <f t="shared" si="2"/>
        <v>1722.27</v>
      </c>
      <c r="M13" s="156"/>
      <c r="N13" s="152"/>
      <c r="O13" s="190" t="s">
        <v>573</v>
      </c>
      <c r="P13" s="157" t="str">
        <f t="shared" si="0"/>
        <v>R$ 1722,27</v>
      </c>
      <c r="Q13" s="143" t="str">
        <f t="shared" si="1"/>
        <v>Municipio de Joinville-IPTU - Ajuizada -  IM 13.20.15.81.2454.00002006-R$ 1722,27;</v>
      </c>
      <c r="R13" s="156"/>
      <c r="S13" s="152"/>
      <c r="T13" s="190"/>
    </row>
    <row r="14" spans="2:20">
      <c r="B14" s="27" t="s">
        <v>426</v>
      </c>
      <c r="C14" s="27" t="s">
        <v>559</v>
      </c>
      <c r="D14" s="150">
        <v>2007</v>
      </c>
      <c r="E14" s="148">
        <v>14040.15</v>
      </c>
      <c r="F14" s="151">
        <v>42122</v>
      </c>
      <c r="G14" s="152" t="s">
        <v>113</v>
      </c>
      <c r="H14" s="153">
        <f>2553.25+370.17</f>
        <v>2923.42</v>
      </c>
      <c r="I14" s="148"/>
      <c r="J14" s="154">
        <v>39128</v>
      </c>
      <c r="K14" s="152" t="s">
        <v>443</v>
      </c>
      <c r="L14" s="155">
        <f t="shared" si="2"/>
        <v>2923.42</v>
      </c>
      <c r="M14" s="156"/>
      <c r="N14" s="152"/>
      <c r="O14" s="190" t="s">
        <v>573</v>
      </c>
      <c r="P14" s="157" t="str">
        <f t="shared" si="0"/>
        <v>R$ 2923,42</v>
      </c>
      <c r="Q14" s="143" t="str">
        <f t="shared" si="1"/>
        <v>Municipio de Joinville-IPTU - Ajuizada -  IM 13.20.15.81.2454.00002007-R$ 2923,42;</v>
      </c>
      <c r="R14" s="156"/>
      <c r="S14" s="152"/>
      <c r="T14" s="190"/>
    </row>
    <row r="15" spans="2:20">
      <c r="B15" s="27" t="s">
        <v>426</v>
      </c>
      <c r="C15" s="27" t="s">
        <v>559</v>
      </c>
      <c r="D15" s="150">
        <v>2008</v>
      </c>
      <c r="E15" s="148">
        <v>12288.94</v>
      </c>
      <c r="F15" s="151">
        <v>42122</v>
      </c>
      <c r="G15" s="152" t="s">
        <v>114</v>
      </c>
      <c r="H15" s="153">
        <f>2714.99+188.76</f>
        <v>2903.75</v>
      </c>
      <c r="I15" s="148"/>
      <c r="J15" s="154">
        <v>39769</v>
      </c>
      <c r="K15" s="152" t="s">
        <v>443</v>
      </c>
      <c r="L15" s="155">
        <f t="shared" si="2"/>
        <v>2903.75</v>
      </c>
      <c r="M15" s="156"/>
      <c r="N15" s="152"/>
      <c r="O15" s="190" t="s">
        <v>573</v>
      </c>
      <c r="P15" s="157" t="str">
        <f t="shared" si="0"/>
        <v>R$ 2903,75</v>
      </c>
      <c r="Q15" s="143" t="str">
        <f t="shared" si="1"/>
        <v>Municipio de Joinville-IPTU - Ajuizada -  IM 13.20.15.81.2454.00002008-R$ 2903,75;</v>
      </c>
      <c r="R15" s="156"/>
      <c r="S15" s="152"/>
      <c r="T15" s="190"/>
    </row>
    <row r="16" spans="2:20">
      <c r="B16" s="27" t="s">
        <v>426</v>
      </c>
      <c r="C16" s="27" t="s">
        <v>559</v>
      </c>
      <c r="D16" s="150">
        <v>2009</v>
      </c>
      <c r="E16" s="148">
        <v>11203.78</v>
      </c>
      <c r="F16" s="151">
        <v>42122</v>
      </c>
      <c r="G16" s="152" t="s">
        <v>115</v>
      </c>
      <c r="H16" s="153">
        <f>1789.18+29.75</f>
        <v>1818.93</v>
      </c>
      <c r="I16" s="148"/>
      <c r="J16" s="154">
        <v>40133</v>
      </c>
      <c r="K16" s="152" t="s">
        <v>444</v>
      </c>
      <c r="L16" s="155">
        <f t="shared" si="2"/>
        <v>1818.93</v>
      </c>
      <c r="M16" s="156"/>
      <c r="N16" s="152"/>
      <c r="O16" s="190" t="s">
        <v>573</v>
      </c>
      <c r="P16" s="157" t="str">
        <f t="shared" si="0"/>
        <v>R$ 1818,93</v>
      </c>
      <c r="Q16" s="143" t="str">
        <f t="shared" si="1"/>
        <v>Municipio de Joinville-IPTU - Ajuizada -  IM 13.20.15.81.2454.00002009-R$ 1818,93;</v>
      </c>
      <c r="R16" s="156"/>
      <c r="S16" s="152"/>
      <c r="T16" s="190"/>
    </row>
    <row r="17" spans="2:20">
      <c r="B17" s="27" t="s">
        <v>426</v>
      </c>
      <c r="C17" s="27" t="s">
        <v>559</v>
      </c>
      <c r="D17" s="150">
        <v>2010</v>
      </c>
      <c r="E17" s="148">
        <v>10135.220000000001</v>
      </c>
      <c r="F17" s="151">
        <v>42122</v>
      </c>
      <c r="G17" s="152" t="s">
        <v>116</v>
      </c>
      <c r="H17" s="153">
        <f>1857.44</f>
        <v>1857.44</v>
      </c>
      <c r="I17" s="148"/>
      <c r="J17" s="154">
        <v>40461</v>
      </c>
      <c r="K17" s="152" t="s">
        <v>444</v>
      </c>
      <c r="L17" s="155">
        <f t="shared" si="2"/>
        <v>1857.44</v>
      </c>
      <c r="M17" s="156"/>
      <c r="N17" s="152"/>
      <c r="O17" s="190" t="s">
        <v>573</v>
      </c>
      <c r="P17" s="157" t="str">
        <f t="shared" si="0"/>
        <v>R$ 1857,44</v>
      </c>
      <c r="Q17" s="143" t="str">
        <f t="shared" si="1"/>
        <v>Municipio de Joinville-IPTU - Ajuizada -  IM 13.20.15.81.2454.00002010-R$ 1857,44;</v>
      </c>
      <c r="R17" s="156"/>
      <c r="S17" s="152"/>
      <c r="T17" s="190"/>
    </row>
    <row r="18" spans="2:20">
      <c r="B18" s="27" t="s">
        <v>426</v>
      </c>
      <c r="C18" s="27" t="s">
        <v>559</v>
      </c>
      <c r="D18" s="150">
        <v>2011</v>
      </c>
      <c r="E18" s="148">
        <v>9985.01</v>
      </c>
      <c r="F18" s="151">
        <v>42122</v>
      </c>
      <c r="G18" s="152" t="s">
        <v>117</v>
      </c>
      <c r="H18" s="153">
        <v>1968.9</v>
      </c>
      <c r="I18" s="148"/>
      <c r="J18" s="154">
        <v>40827</v>
      </c>
      <c r="K18" s="152" t="s">
        <v>444</v>
      </c>
      <c r="L18" s="155">
        <f t="shared" si="2"/>
        <v>1968.9</v>
      </c>
      <c r="M18" s="156"/>
      <c r="N18" s="152"/>
      <c r="O18" s="190" t="s">
        <v>573</v>
      </c>
      <c r="P18" s="157" t="str">
        <f t="shared" si="0"/>
        <v>R$ 1968,9</v>
      </c>
      <c r="Q18" s="143" t="str">
        <f t="shared" si="1"/>
        <v>Municipio de Joinville-IPTU - Ajuizada -  IM 13.20.15.81.2454.00002011-R$ 1968,9;</v>
      </c>
      <c r="R18" s="33"/>
      <c r="S18" s="152"/>
      <c r="T18" s="190"/>
    </row>
    <row r="19" spans="2:20">
      <c r="B19" s="27" t="s">
        <v>426</v>
      </c>
      <c r="C19" s="27" t="s">
        <v>559</v>
      </c>
      <c r="D19" s="150">
        <v>2012</v>
      </c>
      <c r="E19" s="148">
        <v>9805.33</v>
      </c>
      <c r="F19" s="151">
        <v>42122</v>
      </c>
      <c r="G19" s="152" t="s">
        <v>118</v>
      </c>
      <c r="H19" s="153">
        <v>6514.58</v>
      </c>
      <c r="I19" s="148"/>
      <c r="J19" s="154">
        <v>41192</v>
      </c>
      <c r="K19" s="152" t="s">
        <v>445</v>
      </c>
      <c r="L19" s="155">
        <f t="shared" si="2"/>
        <v>6514.58</v>
      </c>
      <c r="M19" s="156"/>
      <c r="N19" s="152"/>
      <c r="O19" s="190" t="s">
        <v>573</v>
      </c>
      <c r="P19" s="157" t="str">
        <f t="shared" si="0"/>
        <v>R$ 6514,58</v>
      </c>
      <c r="Q19" s="143" t="str">
        <f t="shared" si="1"/>
        <v>Municipio de Joinville-IPTU - Ajuizada -  IM 13.20.15.81.2454.00002012-R$ 6514,58;</v>
      </c>
      <c r="R19" s="33"/>
      <c r="S19" s="152"/>
      <c r="T19" s="190"/>
    </row>
    <row r="20" spans="2:20">
      <c r="B20" s="27" t="s">
        <v>426</v>
      </c>
      <c r="C20" s="27" t="s">
        <v>559</v>
      </c>
      <c r="D20" s="150">
        <v>2013</v>
      </c>
      <c r="E20" s="148">
        <v>8063.7799999999988</v>
      </c>
      <c r="F20" s="151">
        <v>42122</v>
      </c>
      <c r="G20" s="152" t="s">
        <v>119</v>
      </c>
      <c r="H20" s="153">
        <v>6869.51</v>
      </c>
      <c r="I20" s="148"/>
      <c r="J20" s="154">
        <v>41557</v>
      </c>
      <c r="K20" s="152" t="s">
        <v>445</v>
      </c>
      <c r="L20" s="155">
        <f t="shared" si="2"/>
        <v>6869.51</v>
      </c>
      <c r="M20" s="156"/>
      <c r="N20" s="152"/>
      <c r="O20" s="190" t="s">
        <v>573</v>
      </c>
      <c r="P20" s="157" t="str">
        <f t="shared" si="0"/>
        <v>R$ 6869,51</v>
      </c>
      <c r="Q20" s="143" t="str">
        <f t="shared" si="1"/>
        <v>Municipio de Joinville-IPTU - Ajuizada -  IM 13.20.15.81.2454.00002013-R$ 6869,51;</v>
      </c>
      <c r="R20" s="33"/>
      <c r="S20" s="152"/>
      <c r="T20" s="190"/>
    </row>
    <row r="21" spans="2:20">
      <c r="B21" s="27" t="s">
        <v>426</v>
      </c>
      <c r="C21" s="27" t="s">
        <v>559</v>
      </c>
      <c r="D21" s="150">
        <v>2014</v>
      </c>
      <c r="E21" s="148">
        <v>7872.079999999999</v>
      </c>
      <c r="F21" s="151">
        <v>42122</v>
      </c>
      <c r="G21" s="152" t="s">
        <v>120</v>
      </c>
      <c r="H21" s="153">
        <v>7271.51</v>
      </c>
      <c r="I21" s="148"/>
      <c r="J21" s="154">
        <v>41920</v>
      </c>
      <c r="K21" s="152" t="s">
        <v>445</v>
      </c>
      <c r="L21" s="155">
        <f t="shared" si="2"/>
        <v>7271.51</v>
      </c>
      <c r="M21" s="156"/>
      <c r="N21" s="190"/>
      <c r="O21" s="190" t="s">
        <v>573</v>
      </c>
      <c r="P21" s="157" t="str">
        <f t="shared" si="0"/>
        <v>R$ 7271,51</v>
      </c>
      <c r="Q21" s="143" t="str">
        <f t="shared" si="1"/>
        <v>Municipio de Joinville-IPTU - Ajuizada -  IM 13.20.15.81.2454.00002014-R$ 7271,51;</v>
      </c>
      <c r="R21" s="33"/>
      <c r="S21" s="190"/>
      <c r="T21" s="190"/>
    </row>
    <row r="22" spans="2:20" ht="26.25">
      <c r="B22" s="27" t="s">
        <v>426</v>
      </c>
      <c r="C22" s="27" t="s">
        <v>545</v>
      </c>
      <c r="D22" s="158">
        <v>2015</v>
      </c>
      <c r="E22" s="159"/>
      <c r="F22" s="160"/>
      <c r="G22" s="161"/>
      <c r="H22" s="162"/>
      <c r="I22" s="159"/>
      <c r="J22" s="163"/>
      <c r="K22" s="161"/>
      <c r="L22" s="155">
        <f>58.55*9+58.56</f>
        <v>585.51</v>
      </c>
      <c r="M22" s="394"/>
      <c r="N22" s="152" t="s">
        <v>553</v>
      </c>
      <c r="O22" s="146"/>
      <c r="P22" s="157" t="str">
        <f>"R$ "&amp;H22</f>
        <v xml:space="preserve">R$ </v>
      </c>
      <c r="Q22" s="143" t="str">
        <f>B22&amp;"-"&amp;C22&amp;""&amp;D22&amp;"-"&amp;P22&amp;";"</f>
        <v>Municipio de Joinville-COSIP - IM 13.20.42.53.5905.00002015-R$ ;</v>
      </c>
      <c r="R22" s="332">
        <v>7750.74</v>
      </c>
      <c r="S22" s="152" t="s">
        <v>598</v>
      </c>
      <c r="T22" s="242" t="s">
        <v>593</v>
      </c>
    </row>
    <row r="23" spans="2:20" ht="28.5">
      <c r="B23" s="27" t="s">
        <v>426</v>
      </c>
      <c r="C23" s="27" t="s">
        <v>545</v>
      </c>
      <c r="D23" s="158">
        <v>2016</v>
      </c>
      <c r="E23" s="159"/>
      <c r="F23" s="160"/>
      <c r="G23" s="161"/>
      <c r="H23" s="162"/>
      <c r="I23" s="159"/>
      <c r="J23" s="163"/>
      <c r="K23" s="161"/>
      <c r="L23" s="155">
        <f>63.85*10</f>
        <v>638.5</v>
      </c>
      <c r="M23" s="156"/>
      <c r="N23" s="152" t="s">
        <v>552</v>
      </c>
      <c r="O23" s="146"/>
      <c r="P23" s="157" t="str">
        <f>"R$ "&amp;H23</f>
        <v xml:space="preserve">R$ </v>
      </c>
      <c r="Q23" s="143" t="str">
        <f>B23&amp;"-"&amp;C23&amp;""&amp;D23&amp;"-"&amp;P23&amp;";"</f>
        <v>Municipio de Joinville-COSIP - IM 13.20.42.53.5905.00002016-R$ ;</v>
      </c>
      <c r="R23" s="332">
        <v>9189.3700000000008</v>
      </c>
      <c r="S23" s="152" t="s">
        <v>598</v>
      </c>
      <c r="T23" s="396" t="s">
        <v>595</v>
      </c>
    </row>
    <row r="24" spans="2:20" ht="26.25">
      <c r="B24" s="27" t="s">
        <v>426</v>
      </c>
      <c r="C24" s="27" t="s">
        <v>544</v>
      </c>
      <c r="D24" s="158">
        <v>2015</v>
      </c>
      <c r="E24" s="159">
        <v>7709.03</v>
      </c>
      <c r="F24" s="160">
        <v>42122</v>
      </c>
      <c r="G24" s="161" t="s">
        <v>121</v>
      </c>
      <c r="H24" s="162">
        <v>7750.74</v>
      </c>
      <c r="I24" s="159"/>
      <c r="J24" s="163">
        <v>42285</v>
      </c>
      <c r="K24" s="161" t="s">
        <v>446</v>
      </c>
      <c r="L24" s="155">
        <f>716.52*9+716.55</f>
        <v>7165.2300000000005</v>
      </c>
      <c r="M24" s="395">
        <f>16834.92-775.1</f>
        <v>16059.819999999998</v>
      </c>
      <c r="N24" s="152" t="s">
        <v>553</v>
      </c>
      <c r="O24" s="242" t="s">
        <v>558</v>
      </c>
      <c r="P24" s="157"/>
      <c r="R24" s="332">
        <v>8515.2900000000009</v>
      </c>
      <c r="S24" s="152" t="s">
        <v>598</v>
      </c>
      <c r="T24" s="375" t="s">
        <v>592</v>
      </c>
    </row>
    <row r="25" spans="2:20" ht="42.75">
      <c r="B25" s="27" t="s">
        <v>426</v>
      </c>
      <c r="C25" s="27" t="s">
        <v>544</v>
      </c>
      <c r="D25" s="158">
        <v>2016</v>
      </c>
      <c r="E25" s="159"/>
      <c r="F25" s="160"/>
      <c r="G25" s="161"/>
      <c r="H25" s="162">
        <v>8515.2900000000009</v>
      </c>
      <c r="I25" s="159"/>
      <c r="J25" s="163">
        <v>42653</v>
      </c>
      <c r="K25" s="161" t="s">
        <v>446</v>
      </c>
      <c r="L25" s="155">
        <f>787.68*9+787.67</f>
        <v>7876.79</v>
      </c>
      <c r="M25" s="156">
        <f>17266.85-851.5</f>
        <v>16415.349999999999</v>
      </c>
      <c r="N25" s="152" t="s">
        <v>552</v>
      </c>
      <c r="O25" s="146" t="s">
        <v>556</v>
      </c>
      <c r="P25" s="157"/>
      <c r="R25" s="332">
        <v>20202.54</v>
      </c>
      <c r="S25" s="152" t="s">
        <v>598</v>
      </c>
      <c r="T25" s="313" t="s">
        <v>594</v>
      </c>
    </row>
    <row r="26" spans="2:20" ht="28.5">
      <c r="B26" s="27" t="s">
        <v>426</v>
      </c>
      <c r="C26" s="27" t="s">
        <v>544</v>
      </c>
      <c r="D26" s="158">
        <v>2017</v>
      </c>
      <c r="E26" s="159"/>
      <c r="F26" s="160"/>
      <c r="G26" s="161"/>
      <c r="H26" s="162">
        <v>9189.3700000000008</v>
      </c>
      <c r="I26" s="159"/>
      <c r="J26" s="163">
        <v>43017</v>
      </c>
      <c r="K26" s="161" t="s">
        <v>446</v>
      </c>
      <c r="L26" s="155">
        <f>849.68*9+849.65</f>
        <v>8496.77</v>
      </c>
      <c r="M26" s="156">
        <f>17377.26-918.9</f>
        <v>16458.359999999997</v>
      </c>
      <c r="N26" s="152" t="s">
        <v>551</v>
      </c>
      <c r="O26" s="242" t="s">
        <v>557</v>
      </c>
      <c r="P26" s="157"/>
      <c r="R26" s="332">
        <v>9418.93</v>
      </c>
      <c r="S26" s="152" t="s">
        <v>598</v>
      </c>
      <c r="T26" s="313" t="s">
        <v>596</v>
      </c>
    </row>
    <row r="27" spans="2:20">
      <c r="B27" s="27" t="s">
        <v>426</v>
      </c>
      <c r="C27" s="27" t="s">
        <v>545</v>
      </c>
      <c r="D27" s="158">
        <v>2017</v>
      </c>
      <c r="E27" s="159"/>
      <c r="F27" s="160"/>
      <c r="G27" s="161"/>
      <c r="H27" s="162"/>
      <c r="I27" s="159"/>
      <c r="J27" s="163"/>
      <c r="K27" s="161"/>
      <c r="L27" s="155">
        <f>69.26*10</f>
        <v>692.6</v>
      </c>
      <c r="M27" s="156"/>
      <c r="N27" s="152" t="s">
        <v>551</v>
      </c>
      <c r="O27" s="146"/>
      <c r="P27" s="157" t="str">
        <f t="shared" si="0"/>
        <v xml:space="preserve">R$ </v>
      </c>
      <c r="Q27" s="143" t="str">
        <f t="shared" si="1"/>
        <v>Municipio de Joinville-COSIP - IM 13.20.42.53.5905.00002017-R$ ;</v>
      </c>
      <c r="R27" s="33"/>
      <c r="S27" s="152"/>
      <c r="T27" s="146"/>
    </row>
    <row r="28" spans="2:20">
      <c r="B28" s="165" t="s">
        <v>426</v>
      </c>
      <c r="C28" s="27" t="s">
        <v>544</v>
      </c>
      <c r="D28" s="158">
        <v>2018</v>
      </c>
      <c r="E28" s="159"/>
      <c r="F28" s="160"/>
      <c r="G28" s="161"/>
      <c r="H28" s="162">
        <v>9418.93</v>
      </c>
      <c r="I28" s="159"/>
      <c r="J28" s="163">
        <v>43378</v>
      </c>
      <c r="K28" s="161" t="s">
        <v>447</v>
      </c>
      <c r="L28" s="155">
        <f>872.62*9+872.59</f>
        <v>8726.17</v>
      </c>
      <c r="M28" s="156">
        <f>17007.1-941.89</f>
        <v>16065.21</v>
      </c>
      <c r="N28" s="152" t="s">
        <v>550</v>
      </c>
      <c r="O28" s="146" t="s">
        <v>556</v>
      </c>
      <c r="P28" s="157" t="str">
        <f t="shared" si="0"/>
        <v>R$ 9418,93</v>
      </c>
      <c r="Q28" s="143" t="str">
        <f t="shared" si="1"/>
        <v>Municipio de Joinville-IPTU  - Dívida Ativa  - IM 13.20.42.53.5905.00002018-R$ 9418,93;</v>
      </c>
      <c r="R28" s="33"/>
      <c r="S28" s="152"/>
      <c r="T28" s="146"/>
    </row>
    <row r="29" spans="2:20">
      <c r="B29" s="165" t="s">
        <v>426</v>
      </c>
      <c r="C29" s="27" t="s">
        <v>545</v>
      </c>
      <c r="D29" s="158">
        <v>2018</v>
      </c>
      <c r="E29" s="159"/>
      <c r="F29" s="160"/>
      <c r="G29" s="161"/>
      <c r="H29" s="162"/>
      <c r="I29" s="159"/>
      <c r="J29" s="163"/>
      <c r="K29" s="161"/>
      <c r="L29" s="155">
        <f>69.28*9+69.24</f>
        <v>692.76</v>
      </c>
      <c r="M29" s="156"/>
      <c r="N29" s="152" t="s">
        <v>550</v>
      </c>
      <c r="O29" s="146"/>
      <c r="P29" s="157"/>
      <c r="R29" s="33"/>
      <c r="S29" s="152"/>
      <c r="T29" s="146"/>
    </row>
    <row r="30" spans="2:20">
      <c r="B30" s="165" t="s">
        <v>426</v>
      </c>
      <c r="C30" s="27" t="s">
        <v>544</v>
      </c>
      <c r="D30" s="158">
        <v>2019</v>
      </c>
      <c r="E30" s="159"/>
      <c r="F30" s="160"/>
      <c r="G30" s="161"/>
      <c r="H30" s="162"/>
      <c r="I30" s="159">
        <f>9928.83</f>
        <v>9928.83</v>
      </c>
      <c r="J30" s="163"/>
      <c r="K30" s="161" t="s">
        <v>535</v>
      </c>
      <c r="L30" s="155">
        <f>908.31*9+908.28</f>
        <v>9083.07</v>
      </c>
      <c r="M30" s="156">
        <f>17254.8-992.89</f>
        <v>16261.91</v>
      </c>
      <c r="N30" s="152" t="s">
        <v>549</v>
      </c>
      <c r="O30" s="146" t="s">
        <v>556</v>
      </c>
      <c r="P30" s="157"/>
      <c r="R30" s="33"/>
      <c r="S30" s="152"/>
      <c r="T30" s="146"/>
    </row>
    <row r="31" spans="2:20">
      <c r="B31" s="165" t="s">
        <v>426</v>
      </c>
      <c r="C31" s="27" t="s">
        <v>545</v>
      </c>
      <c r="D31" s="158">
        <v>2019</v>
      </c>
      <c r="E31" s="159"/>
      <c r="F31" s="160"/>
      <c r="G31" s="161"/>
      <c r="H31" s="162"/>
      <c r="I31" s="159"/>
      <c r="J31" s="163"/>
      <c r="K31" s="161"/>
      <c r="L31" s="155">
        <f>84.58*9+84.54</f>
        <v>845.76</v>
      </c>
      <c r="M31" s="156"/>
      <c r="N31" s="152" t="s">
        <v>549</v>
      </c>
      <c r="O31" s="146"/>
      <c r="P31" s="157"/>
      <c r="R31" s="33"/>
      <c r="S31" s="152"/>
      <c r="T31" s="146"/>
    </row>
    <row r="32" spans="2:20">
      <c r="B32" s="165" t="s">
        <v>426</v>
      </c>
      <c r="C32" s="27" t="s">
        <v>544</v>
      </c>
      <c r="D32" s="158">
        <v>2020</v>
      </c>
      <c r="E32" s="159"/>
      <c r="F32" s="160"/>
      <c r="G32" s="161"/>
      <c r="H32" s="162"/>
      <c r="I32" s="159">
        <v>10273.709999999999</v>
      </c>
      <c r="J32" s="163"/>
      <c r="K32" s="161" t="s">
        <v>535</v>
      </c>
      <c r="L32" s="155">
        <f>(934.56*9)+934.53</f>
        <v>9345.57</v>
      </c>
      <c r="M32" s="156">
        <f>17313.4-1027.4</f>
        <v>16286.000000000002</v>
      </c>
      <c r="N32" s="152" t="s">
        <v>546</v>
      </c>
      <c r="O32" s="146" t="s">
        <v>556</v>
      </c>
      <c r="P32" s="157"/>
      <c r="R32" s="33"/>
      <c r="S32" s="152"/>
      <c r="T32" s="146"/>
    </row>
    <row r="33" spans="2:20">
      <c r="B33" s="165" t="s">
        <v>426</v>
      </c>
      <c r="C33" s="27" t="s">
        <v>545</v>
      </c>
      <c r="D33" s="158">
        <v>2020</v>
      </c>
      <c r="E33" s="159"/>
      <c r="F33" s="160"/>
      <c r="G33" s="161"/>
      <c r="H33" s="162"/>
      <c r="I33" s="159"/>
      <c r="J33" s="163"/>
      <c r="K33" s="161"/>
      <c r="L33" s="155">
        <f>(92.81*9)+92.85</f>
        <v>928.14</v>
      </c>
      <c r="M33" s="156"/>
      <c r="N33" s="152" t="s">
        <v>546</v>
      </c>
      <c r="O33" s="146"/>
      <c r="P33" s="157"/>
      <c r="R33" s="33"/>
      <c r="S33" s="152"/>
      <c r="T33" s="146"/>
    </row>
    <row r="34" spans="2:20" ht="26.25">
      <c r="B34" s="165" t="s">
        <v>508</v>
      </c>
      <c r="C34" s="27" t="s">
        <v>509</v>
      </c>
      <c r="D34" s="158" t="s">
        <v>510</v>
      </c>
      <c r="E34" s="159"/>
      <c r="F34" s="160"/>
      <c r="G34" s="161"/>
      <c r="H34" s="162">
        <v>1202.45</v>
      </c>
      <c r="I34" s="159">
        <v>0</v>
      </c>
      <c r="J34" s="163"/>
      <c r="K34" s="161" t="s">
        <v>507</v>
      </c>
      <c r="L34" s="155">
        <v>0</v>
      </c>
      <c r="M34" s="156">
        <v>0</v>
      </c>
      <c r="N34" s="152"/>
      <c r="O34" s="173" t="s">
        <v>581</v>
      </c>
      <c r="P34" s="157" t="str">
        <f>"R$ "&amp;H34</f>
        <v>R$ 1202,45</v>
      </c>
      <c r="Q34" s="143" t="str">
        <f>B34&amp;"-"&amp;C34&amp;""&amp;D34&amp;"-"&amp;P34&amp;";"</f>
        <v>Municipio de São José-CDA 819020152010 a 2013-R$ 1202,45;</v>
      </c>
      <c r="R34" s="33"/>
      <c r="S34" s="152"/>
      <c r="T34" s="173"/>
    </row>
    <row r="35" spans="2:20" ht="26.25">
      <c r="B35" s="165" t="s">
        <v>508</v>
      </c>
      <c r="C35" s="27" t="s">
        <v>513</v>
      </c>
      <c r="D35" s="158" t="s">
        <v>510</v>
      </c>
      <c r="E35" s="159"/>
      <c r="F35" s="160"/>
      <c r="G35" s="161"/>
      <c r="H35" s="162">
        <v>1491.65</v>
      </c>
      <c r="I35" s="159"/>
      <c r="J35" s="163"/>
      <c r="K35" s="161" t="s">
        <v>514</v>
      </c>
      <c r="L35" s="155">
        <v>0</v>
      </c>
      <c r="M35" s="156">
        <v>0</v>
      </c>
      <c r="N35" s="152"/>
      <c r="O35" s="173" t="s">
        <v>582</v>
      </c>
      <c r="P35" s="157" t="str">
        <f>"R$ "&amp;H35</f>
        <v>R$ 1491,65</v>
      </c>
      <c r="Q35" s="143" t="str">
        <f>B35&amp;"-"&amp;C35&amp;""&amp;D35&amp;"-"&amp;P35&amp;";"</f>
        <v>Municipio de São José-CDA 70022010 a 2013-R$ 1491,65;</v>
      </c>
      <c r="R35" s="156"/>
      <c r="S35" s="152"/>
      <c r="T35" s="173"/>
    </row>
    <row r="36" spans="2:20" ht="26.25">
      <c r="B36" s="165" t="s">
        <v>508</v>
      </c>
      <c r="C36" s="165" t="s">
        <v>565</v>
      </c>
      <c r="D36" s="237" t="s">
        <v>574</v>
      </c>
      <c r="E36" s="159"/>
      <c r="F36" s="160"/>
      <c r="G36" s="161"/>
      <c r="H36" s="162"/>
      <c r="I36" s="159"/>
      <c r="J36" s="163"/>
      <c r="K36" s="161"/>
      <c r="L36" s="238">
        <v>0</v>
      </c>
      <c r="M36" s="239">
        <v>0</v>
      </c>
      <c r="N36" s="152" t="s">
        <v>580</v>
      </c>
      <c r="O36" s="266" t="s">
        <v>579</v>
      </c>
      <c r="P36" s="157"/>
      <c r="R36" s="239"/>
      <c r="S36" s="152"/>
      <c r="T36" s="266"/>
    </row>
    <row r="37" spans="2:20">
      <c r="B37" s="236"/>
      <c r="C37" s="241"/>
      <c r="D37" s="237"/>
      <c r="E37" s="159"/>
      <c r="F37" s="160"/>
      <c r="G37" s="161"/>
      <c r="H37" s="162"/>
      <c r="I37" s="159"/>
      <c r="J37" s="163"/>
      <c r="K37" s="161"/>
      <c r="L37" s="238"/>
      <c r="M37" s="239"/>
      <c r="N37" s="240"/>
      <c r="O37" s="161"/>
      <c r="P37" s="157"/>
      <c r="R37" s="239"/>
      <c r="S37" s="240"/>
      <c r="T37" s="161"/>
    </row>
    <row r="38" spans="2:20" ht="13.5" thickBot="1">
      <c r="B38" s="470" t="s">
        <v>56</v>
      </c>
      <c r="C38" s="471"/>
      <c r="D38" s="471"/>
      <c r="E38" s="166">
        <f>SUM(E6:E35)</f>
        <v>209764.77</v>
      </c>
      <c r="F38" s="167"/>
      <c r="G38" s="168"/>
      <c r="H38" s="169">
        <f>SUM(H6:H35)</f>
        <v>81523.86</v>
      </c>
      <c r="I38" s="166">
        <f>SUM(I5:I35)</f>
        <v>20202.54</v>
      </c>
      <c r="J38" s="167"/>
      <c r="K38" s="168"/>
      <c r="L38" s="170">
        <f>SUM(L5:L35)</f>
        <v>99032.3</v>
      </c>
      <c r="M38" s="171">
        <f>SUM(M5:M37)</f>
        <v>97546.65</v>
      </c>
      <c r="N38" s="171"/>
      <c r="O38" s="168"/>
      <c r="P38" s="157" t="str">
        <f>"R$ "&amp;H38</f>
        <v>R$ 81523,86</v>
      </c>
      <c r="Q38" s="172">
        <v>81523.86</v>
      </c>
      <c r="R38" s="270">
        <f>SUM(R5:R37)</f>
        <v>55076.87</v>
      </c>
      <c r="S38" s="270"/>
      <c r="T38" s="271"/>
    </row>
  </sheetData>
  <sortState xmlns:xlrd2="http://schemas.microsoft.com/office/spreadsheetml/2017/richdata2" ref="B22:T26">
    <sortCondition ref="C22:C26"/>
  </sortState>
  <mergeCells count="9">
    <mergeCell ref="I3:K3"/>
    <mergeCell ref="L3:O3"/>
    <mergeCell ref="B2:T2"/>
    <mergeCell ref="R3:T3"/>
    <mergeCell ref="B38:D38"/>
    <mergeCell ref="B3:B4"/>
    <mergeCell ref="C3:C4"/>
    <mergeCell ref="D3:D4"/>
    <mergeCell ref="E3:G3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301"/>
  <sheetViews>
    <sheetView showGridLines="0" zoomScale="80" zoomScaleNormal="80" workbookViewId="0">
      <selection activeCell="H4" sqref="H4"/>
    </sheetView>
  </sheetViews>
  <sheetFormatPr defaultColWidth="9.19921875" defaultRowHeight="13.15"/>
  <cols>
    <col min="1" max="1" width="9.19921875" style="4"/>
    <col min="2" max="2" width="36.53125" style="4" bestFit="1" customWidth="1"/>
    <col min="3" max="3" width="14.53125" style="4" customWidth="1"/>
    <col min="4" max="4" width="15.73046875" style="4" hidden="1" customWidth="1"/>
    <col min="5" max="5" width="12.73046875" style="4" hidden="1" customWidth="1"/>
    <col min="6" max="6" width="9.265625" style="4" hidden="1" customWidth="1"/>
    <col min="7" max="9" width="14.265625" style="4" customWidth="1"/>
    <col min="10" max="10" width="11.33203125" style="4" bestFit="1" customWidth="1"/>
    <col min="11" max="11" width="14.265625" style="4" customWidth="1"/>
    <col min="12" max="12" width="50.19921875" style="4" bestFit="1" customWidth="1"/>
    <col min="13" max="16384" width="9.19921875" style="4"/>
  </cols>
  <sheetData>
    <row r="1" spans="2:12">
      <c r="G1" s="79"/>
      <c r="H1" s="79"/>
    </row>
    <row r="2" spans="2:12">
      <c r="B2" s="498" t="s">
        <v>450</v>
      </c>
      <c r="C2" s="499"/>
      <c r="D2" s="499"/>
      <c r="E2" s="499"/>
      <c r="F2" s="499"/>
      <c r="G2" s="499"/>
      <c r="H2" s="500"/>
      <c r="I2" s="500"/>
      <c r="J2" s="501"/>
      <c r="K2" s="210"/>
    </row>
    <row r="3" spans="2:12" ht="14.55" customHeight="1">
      <c r="B3" s="472" t="s">
        <v>423</v>
      </c>
      <c r="C3" s="502" t="s">
        <v>131</v>
      </c>
      <c r="D3" s="338"/>
      <c r="E3" s="338"/>
      <c r="F3" s="338"/>
      <c r="G3" s="458" t="s">
        <v>602</v>
      </c>
      <c r="H3" s="346" t="s">
        <v>603</v>
      </c>
      <c r="I3" s="345" t="s">
        <v>604</v>
      </c>
      <c r="J3" s="473" t="s">
        <v>10</v>
      </c>
      <c r="K3" s="210"/>
    </row>
    <row r="4" spans="2:12" ht="26.25">
      <c r="B4" s="472"/>
      <c r="C4" s="502"/>
      <c r="D4" s="43" t="s">
        <v>132</v>
      </c>
      <c r="E4" s="43" t="s">
        <v>427</v>
      </c>
      <c r="F4" s="43" t="s">
        <v>459</v>
      </c>
      <c r="G4" s="458"/>
      <c r="H4" s="347">
        <f>INPC!E52</f>
        <v>54.014865472807351</v>
      </c>
      <c r="I4" s="348">
        <v>46142</v>
      </c>
      <c r="J4" s="474"/>
    </row>
    <row r="5" spans="2:12">
      <c r="B5" s="26" t="s">
        <v>605</v>
      </c>
      <c r="C5" s="25">
        <v>59720.33</v>
      </c>
      <c r="D5" s="33">
        <f t="shared" ref="D5:D68" si="0">C5/1000/2.75</f>
        <v>21.716483636363638</v>
      </c>
      <c r="E5" s="10">
        <v>42284</v>
      </c>
      <c r="F5" s="10"/>
      <c r="G5" s="33">
        <f>C5/2750</f>
        <v>21.716483636363638</v>
      </c>
      <c r="H5" s="344">
        <f>G5*$H$4</f>
        <v>1173.0129421606041</v>
      </c>
      <c r="I5" s="344">
        <f>ROUND(G5+H5,2)</f>
        <v>1194.73</v>
      </c>
      <c r="J5" s="6"/>
      <c r="L5" s="4" t="str">
        <f>B5&amp;"= "&amp;I5&amp;";"</f>
        <v>3M do Brasil Ltda = 1194,73;</v>
      </c>
    </row>
    <row r="6" spans="2:12">
      <c r="B6" s="26" t="s">
        <v>606</v>
      </c>
      <c r="C6" s="25">
        <v>350939.14</v>
      </c>
      <c r="D6" s="33">
        <f t="shared" si="0"/>
        <v>127.61423272727274</v>
      </c>
      <c r="E6" s="10">
        <v>42284</v>
      </c>
      <c r="F6" s="10"/>
      <c r="G6" s="33">
        <f t="shared" ref="G6:G69" si="1">C6/2750</f>
        <v>127.61423272727274</v>
      </c>
      <c r="H6" s="33">
        <f t="shared" ref="H6:H69" si="2">G6*$H$4</f>
        <v>6893.0656131791657</v>
      </c>
      <c r="I6" s="344">
        <f t="shared" ref="I6:I69" si="3">ROUND(G6+H6,2)</f>
        <v>7020.68</v>
      </c>
      <c r="J6" s="6"/>
      <c r="L6" s="4" t="str">
        <f t="shared" ref="L6:L69" si="4">B6&amp;"= "&amp;I6&amp;";"</f>
        <v>A B Loss e Cia Ltda = 7020,68;</v>
      </c>
    </row>
    <row r="7" spans="2:12">
      <c r="B7" s="27" t="s">
        <v>607</v>
      </c>
      <c r="C7" s="25">
        <v>2219664.7999999998</v>
      </c>
      <c r="D7" s="33">
        <f t="shared" si="0"/>
        <v>807.15083636363636</v>
      </c>
      <c r="E7" s="10">
        <v>42284</v>
      </c>
      <c r="F7" s="10"/>
      <c r="G7" s="33">
        <f t="shared" si="1"/>
        <v>807.15083636363624</v>
      </c>
      <c r="H7" s="33">
        <f t="shared" si="2"/>
        <v>43598.143842445752</v>
      </c>
      <c r="I7" s="344">
        <f t="shared" si="3"/>
        <v>44405.29</v>
      </c>
      <c r="J7" s="6"/>
      <c r="L7" s="4" t="str">
        <f t="shared" si="4"/>
        <v>A C L Com. e Verduras Ltda = 44405,29;</v>
      </c>
    </row>
    <row r="8" spans="2:12">
      <c r="B8" s="26" t="s">
        <v>213</v>
      </c>
      <c r="C8" s="25">
        <v>1377613.12</v>
      </c>
      <c r="D8" s="33">
        <f t="shared" si="0"/>
        <v>500.95022545454555</v>
      </c>
      <c r="E8" s="10">
        <v>42284</v>
      </c>
      <c r="F8" s="10"/>
      <c r="G8" s="33">
        <f t="shared" si="1"/>
        <v>500.95022545454549</v>
      </c>
      <c r="H8" s="33">
        <f t="shared" si="2"/>
        <v>27058.759036499789</v>
      </c>
      <c r="I8" s="344">
        <f t="shared" si="3"/>
        <v>27559.71</v>
      </c>
      <c r="J8" s="6"/>
      <c r="L8" s="4" t="str">
        <f t="shared" si="4"/>
        <v>Acacio Jorge Bruno Neves= 27559,71;</v>
      </c>
    </row>
    <row r="9" spans="2:12">
      <c r="B9" s="26" t="s">
        <v>608</v>
      </c>
      <c r="C9" s="25">
        <v>360850.39</v>
      </c>
      <c r="D9" s="33">
        <f t="shared" si="0"/>
        <v>131.21832363636364</v>
      </c>
      <c r="E9" s="10">
        <v>42284</v>
      </c>
      <c r="F9" s="10"/>
      <c r="G9" s="33">
        <f t="shared" si="1"/>
        <v>131.21832363636364</v>
      </c>
      <c r="H9" s="33">
        <f t="shared" si="2"/>
        <v>7087.7400987854789</v>
      </c>
      <c r="I9" s="344">
        <f t="shared" si="3"/>
        <v>7218.96</v>
      </c>
      <c r="J9" s="6"/>
      <c r="L9" s="4" t="str">
        <f t="shared" si="4"/>
        <v>ACG-Industria Alimentícia Ltda= 7218,96;</v>
      </c>
    </row>
    <row r="10" spans="2:12">
      <c r="B10" s="26" t="s">
        <v>267</v>
      </c>
      <c r="C10" s="25">
        <v>603018.63</v>
      </c>
      <c r="D10" s="33">
        <f t="shared" si="0"/>
        <v>219.27950181818184</v>
      </c>
      <c r="E10" s="10">
        <v>42284</v>
      </c>
      <c r="F10" s="10"/>
      <c r="G10" s="33">
        <f t="shared" si="1"/>
        <v>219.27950181818181</v>
      </c>
      <c r="H10" s="33">
        <f t="shared" si="2"/>
        <v>11844.352791653306</v>
      </c>
      <c r="I10" s="344">
        <f t="shared" si="3"/>
        <v>12063.63</v>
      </c>
      <c r="J10" s="6"/>
      <c r="L10" s="4" t="str">
        <f t="shared" si="4"/>
        <v>Adolar Kasulke= 12063,63;</v>
      </c>
    </row>
    <row r="11" spans="2:12">
      <c r="B11" s="26" t="s">
        <v>609</v>
      </c>
      <c r="C11" s="25">
        <v>117165.12</v>
      </c>
      <c r="D11" s="33">
        <f t="shared" si="0"/>
        <v>42.605498181818184</v>
      </c>
      <c r="E11" s="10">
        <v>42284</v>
      </c>
      <c r="F11" s="10"/>
      <c r="G11" s="33">
        <f t="shared" si="1"/>
        <v>42.605498181818177</v>
      </c>
      <c r="H11" s="33">
        <f t="shared" si="2"/>
        <v>2301.3302526928469</v>
      </c>
      <c r="I11" s="344">
        <f t="shared" si="3"/>
        <v>2343.94</v>
      </c>
      <c r="J11" s="6"/>
      <c r="L11" s="4" t="str">
        <f t="shared" si="4"/>
        <v>Agro Com. Novo Mundo Ltda = 2343,94;</v>
      </c>
    </row>
    <row r="12" spans="2:12">
      <c r="B12" s="26" t="s">
        <v>610</v>
      </c>
      <c r="C12" s="25">
        <v>50061.919999999998</v>
      </c>
      <c r="D12" s="33">
        <f t="shared" si="0"/>
        <v>18.204334545454547</v>
      </c>
      <c r="E12" s="10">
        <v>42284</v>
      </c>
      <c r="F12" s="10"/>
      <c r="G12" s="33">
        <f t="shared" si="1"/>
        <v>18.204334545454543</v>
      </c>
      <c r="H12" s="33">
        <f t="shared" si="2"/>
        <v>983.30468149470676</v>
      </c>
      <c r="I12" s="344">
        <f t="shared" si="3"/>
        <v>1001.51</v>
      </c>
      <c r="J12" s="6"/>
      <c r="L12" s="4" t="str">
        <f t="shared" si="4"/>
        <v>Agro Comercial Colombense Ltda = 1001,51;</v>
      </c>
    </row>
    <row r="13" spans="2:12">
      <c r="B13" s="26" t="s">
        <v>194</v>
      </c>
      <c r="C13" s="25">
        <v>2003842.28</v>
      </c>
      <c r="D13" s="33">
        <f t="shared" si="0"/>
        <v>728.66992000000005</v>
      </c>
      <c r="E13" s="10">
        <v>42284</v>
      </c>
      <c r="F13" s="10"/>
      <c r="G13" s="33">
        <f t="shared" si="1"/>
        <v>728.66992000000005</v>
      </c>
      <c r="H13" s="33">
        <f t="shared" si="2"/>
        <v>39359.007702881296</v>
      </c>
      <c r="I13" s="344">
        <f t="shared" si="3"/>
        <v>40087.68</v>
      </c>
      <c r="J13" s="6"/>
      <c r="L13" s="4" t="str">
        <f t="shared" si="4"/>
        <v>Agroeliane S/A Ind. de Alimentos= 40087,68;</v>
      </c>
    </row>
    <row r="14" spans="2:12">
      <c r="B14" s="26" t="s">
        <v>250</v>
      </c>
      <c r="C14" s="25">
        <v>780005.23</v>
      </c>
      <c r="D14" s="33">
        <f t="shared" si="0"/>
        <v>283.63826545454543</v>
      </c>
      <c r="E14" s="10">
        <v>42284</v>
      </c>
      <c r="F14" s="10"/>
      <c r="G14" s="33">
        <f t="shared" si="1"/>
        <v>283.63826545454543</v>
      </c>
      <c r="H14" s="33">
        <f t="shared" si="2"/>
        <v>15320.682751467692</v>
      </c>
      <c r="I14" s="344">
        <f t="shared" si="3"/>
        <v>15604.32</v>
      </c>
      <c r="J14" s="6"/>
      <c r="L14" s="4" t="str">
        <f t="shared" si="4"/>
        <v>Ailiram S/A Produtos Alimentícios = 15604,32;</v>
      </c>
    </row>
    <row r="15" spans="2:12">
      <c r="B15" s="26" t="s">
        <v>611</v>
      </c>
      <c r="C15" s="25">
        <v>3026066.31</v>
      </c>
      <c r="D15" s="33">
        <f t="shared" si="0"/>
        <v>1100.3877490909092</v>
      </c>
      <c r="E15" s="10">
        <v>42284</v>
      </c>
      <c r="F15" s="10"/>
      <c r="G15" s="33">
        <f t="shared" si="1"/>
        <v>1100.3877490909092</v>
      </c>
      <c r="H15" s="33">
        <f t="shared" si="2"/>
        <v>59437.296235070753</v>
      </c>
      <c r="I15" s="344">
        <f t="shared" si="3"/>
        <v>60537.68</v>
      </c>
      <c r="J15" s="6"/>
      <c r="L15" s="4" t="str">
        <f t="shared" si="4"/>
        <v>Albercht Carnes Nobres Ltda= 60537,68;</v>
      </c>
    </row>
    <row r="16" spans="2:12">
      <c r="B16" s="26" t="s">
        <v>612</v>
      </c>
      <c r="C16" s="25">
        <v>321761.63</v>
      </c>
      <c r="D16" s="33">
        <f t="shared" si="0"/>
        <v>117.00422909090911</v>
      </c>
      <c r="E16" s="10">
        <v>42284</v>
      </c>
      <c r="F16" s="10"/>
      <c r="G16" s="33">
        <f t="shared" si="1"/>
        <v>117.00422909090909</v>
      </c>
      <c r="H16" s="33">
        <f t="shared" si="2"/>
        <v>6319.9676940949867</v>
      </c>
      <c r="I16" s="344">
        <f t="shared" si="3"/>
        <v>6436.97</v>
      </c>
      <c r="J16" s="6"/>
      <c r="L16" s="4" t="str">
        <f t="shared" si="4"/>
        <v>Alceu Breda e Cia Ltda = 6436,97;</v>
      </c>
    </row>
    <row r="17" spans="2:12">
      <c r="B17" s="27" t="s">
        <v>778</v>
      </c>
      <c r="C17" s="25">
        <v>2474019.83</v>
      </c>
      <c r="D17" s="33">
        <f t="shared" si="0"/>
        <v>899.64357454545461</v>
      </c>
      <c r="E17" s="10">
        <v>42284</v>
      </c>
      <c r="F17" s="10"/>
      <c r="G17" s="33">
        <f t="shared" si="1"/>
        <v>899.64357454545461</v>
      </c>
      <c r="H17" s="33">
        <f t="shared" si="2"/>
        <v>48594.126652548264</v>
      </c>
      <c r="I17" s="344">
        <f t="shared" si="3"/>
        <v>49493.77</v>
      </c>
      <c r="J17" s="6"/>
      <c r="L17" s="4" t="str">
        <f t="shared" si="4"/>
        <v>ALDI - Mercantil e Empreendimentos Ltda= 49493,77;</v>
      </c>
    </row>
    <row r="18" spans="2:12">
      <c r="B18" s="26" t="s">
        <v>356</v>
      </c>
      <c r="C18" s="25">
        <v>125003.1</v>
      </c>
      <c r="D18" s="33">
        <f t="shared" si="0"/>
        <v>45.455672727272727</v>
      </c>
      <c r="E18" s="10">
        <v>42284</v>
      </c>
      <c r="F18" s="10"/>
      <c r="G18" s="33">
        <f t="shared" si="1"/>
        <v>45.455672727272727</v>
      </c>
      <c r="H18" s="33">
        <f t="shared" si="2"/>
        <v>2455.2820473395946</v>
      </c>
      <c r="I18" s="344">
        <f t="shared" si="3"/>
        <v>2500.7399999999998</v>
      </c>
      <c r="J18" s="6"/>
      <c r="L18" s="4" t="str">
        <f t="shared" si="4"/>
        <v>Alfredo Bucheim S/A Ind. Com.= 2500,74;</v>
      </c>
    </row>
    <row r="19" spans="2:12">
      <c r="B19" s="26" t="s">
        <v>613</v>
      </c>
      <c r="C19" s="25">
        <v>141538.71</v>
      </c>
      <c r="D19" s="33">
        <f t="shared" si="0"/>
        <v>51.468621818181809</v>
      </c>
      <c r="E19" s="10">
        <v>42284</v>
      </c>
      <c r="F19" s="10"/>
      <c r="G19" s="33">
        <f t="shared" si="1"/>
        <v>51.468621818181816</v>
      </c>
      <c r="H19" s="33">
        <f t="shared" si="2"/>
        <v>2780.0706835798883</v>
      </c>
      <c r="I19" s="344">
        <f t="shared" si="3"/>
        <v>2831.54</v>
      </c>
      <c r="J19" s="6"/>
      <c r="L19" s="4" t="str">
        <f t="shared" si="4"/>
        <v>Alim. Congelados Freezer Bom Ltda= 2831,54;</v>
      </c>
    </row>
    <row r="20" spans="2:12">
      <c r="B20" s="26" t="s">
        <v>614</v>
      </c>
      <c r="C20" s="25">
        <v>1883440.82</v>
      </c>
      <c r="D20" s="33">
        <f t="shared" si="0"/>
        <v>684.88757090909087</v>
      </c>
      <c r="E20" s="10">
        <v>42284</v>
      </c>
      <c r="F20" s="10"/>
      <c r="G20" s="33">
        <f t="shared" si="1"/>
        <v>684.88757090909098</v>
      </c>
      <c r="H20" s="33">
        <f t="shared" si="2"/>
        <v>36994.110006652358</v>
      </c>
      <c r="I20" s="344">
        <f t="shared" si="3"/>
        <v>37679</v>
      </c>
      <c r="J20" s="6"/>
      <c r="L20" s="4" t="str">
        <f t="shared" si="4"/>
        <v>Alimenticios Sasse Ltda = 37679;</v>
      </c>
    </row>
    <row r="21" spans="2:12">
      <c r="B21" s="26" t="s">
        <v>615</v>
      </c>
      <c r="C21" s="25">
        <v>479785.38</v>
      </c>
      <c r="D21" s="33">
        <f t="shared" si="0"/>
        <v>174.46741090909092</v>
      </c>
      <c r="E21" s="10">
        <v>42284</v>
      </c>
      <c r="F21" s="10"/>
      <c r="G21" s="33">
        <f t="shared" si="1"/>
        <v>174.46741090909092</v>
      </c>
      <c r="H21" s="33">
        <f t="shared" si="2"/>
        <v>9423.8337296435475</v>
      </c>
      <c r="I21" s="344">
        <f t="shared" si="3"/>
        <v>9598.2999999999993</v>
      </c>
      <c r="J21" s="6"/>
      <c r="L21" s="4" t="str">
        <f t="shared" si="4"/>
        <v>Amend. e Cia. Ltda Com. e Repres. = 9598,3;</v>
      </c>
    </row>
    <row r="22" spans="2:12">
      <c r="B22" s="26" t="s">
        <v>616</v>
      </c>
      <c r="C22" s="25">
        <v>73828.69</v>
      </c>
      <c r="D22" s="33">
        <f t="shared" si="0"/>
        <v>26.846796363636368</v>
      </c>
      <c r="E22" s="10">
        <v>42284</v>
      </c>
      <c r="F22" s="10"/>
      <c r="G22" s="33">
        <f t="shared" si="1"/>
        <v>26.846796363636365</v>
      </c>
      <c r="H22" s="33">
        <f t="shared" si="2"/>
        <v>1450.1260939576719</v>
      </c>
      <c r="I22" s="344">
        <f t="shared" si="3"/>
        <v>1476.97</v>
      </c>
      <c r="J22" s="6"/>
      <c r="L22" s="4" t="str">
        <f t="shared" si="4"/>
        <v>Antonio Sassaki E Filho Ltda = 1476,97;</v>
      </c>
    </row>
    <row r="23" spans="2:12">
      <c r="B23" s="26" t="s">
        <v>617</v>
      </c>
      <c r="C23" s="25">
        <v>95370.49</v>
      </c>
      <c r="D23" s="33">
        <f t="shared" si="0"/>
        <v>34.680178181818185</v>
      </c>
      <c r="E23" s="10">
        <v>42284</v>
      </c>
      <c r="F23" s="10"/>
      <c r="G23" s="33">
        <f t="shared" si="1"/>
        <v>34.680178181818185</v>
      </c>
      <c r="H23" s="33">
        <f t="shared" si="2"/>
        <v>1873.245159063898</v>
      </c>
      <c r="I23" s="344">
        <f t="shared" si="3"/>
        <v>1907.93</v>
      </c>
      <c r="J23" s="6"/>
      <c r="L23" s="4" t="str">
        <f t="shared" si="4"/>
        <v>Araucaria Com. e Repres. Ltda = 1907,93;</v>
      </c>
    </row>
    <row r="24" spans="2:12">
      <c r="B24" s="26" t="s">
        <v>618</v>
      </c>
      <c r="C24" s="25">
        <v>43083.59</v>
      </c>
      <c r="D24" s="33">
        <f t="shared" si="0"/>
        <v>15.666759999999998</v>
      </c>
      <c r="E24" s="10">
        <v>42284</v>
      </c>
      <c r="F24" s="10"/>
      <c r="G24" s="33">
        <f t="shared" si="1"/>
        <v>15.666759999999998</v>
      </c>
      <c r="H24" s="33">
        <f t="shared" si="2"/>
        <v>846.23793379475921</v>
      </c>
      <c r="I24" s="344">
        <f t="shared" si="3"/>
        <v>861.9</v>
      </c>
      <c r="J24" s="6"/>
      <c r="L24" s="4" t="str">
        <f t="shared" si="4"/>
        <v>Arco-Iris Prod. Alimenticios Ltda = 861,9;</v>
      </c>
    </row>
    <row r="25" spans="2:12">
      <c r="B25" s="26" t="s">
        <v>779</v>
      </c>
      <c r="C25" s="25">
        <v>17270200.719999999</v>
      </c>
      <c r="D25" s="33">
        <f t="shared" si="0"/>
        <v>6280.0729890909079</v>
      </c>
      <c r="E25" s="10">
        <v>42284</v>
      </c>
      <c r="F25" s="10"/>
      <c r="G25" s="33">
        <f t="shared" si="1"/>
        <v>6280.0729890909088</v>
      </c>
      <c r="H25" s="33">
        <f t="shared" si="2"/>
        <v>339217.2976651566</v>
      </c>
      <c r="I25" s="344">
        <f t="shared" si="3"/>
        <v>345497.37</v>
      </c>
      <c r="J25" s="6"/>
      <c r="L25" s="4" t="str">
        <f t="shared" si="4"/>
        <v>Arisco Prod. Alimentícios Ltda= 345497,37;</v>
      </c>
    </row>
    <row r="26" spans="2:12">
      <c r="B26" s="26" t="s">
        <v>619</v>
      </c>
      <c r="C26" s="25">
        <v>1021920.62</v>
      </c>
      <c r="D26" s="33">
        <f t="shared" si="0"/>
        <v>371.60749818181819</v>
      </c>
      <c r="E26" s="10">
        <v>42284</v>
      </c>
      <c r="F26" s="10"/>
      <c r="G26" s="33">
        <f t="shared" si="1"/>
        <v>371.60749818181819</v>
      </c>
      <c r="H26" s="33">
        <f t="shared" si="2"/>
        <v>20072.32902297741</v>
      </c>
      <c r="I26" s="344">
        <f t="shared" si="3"/>
        <v>20443.939999999999</v>
      </c>
      <c r="J26" s="6"/>
      <c r="L26" s="4" t="str">
        <f t="shared" si="4"/>
        <v>Atlantis Brasil Com. e Ind. Ltda= 20443,94;</v>
      </c>
    </row>
    <row r="27" spans="2:12">
      <c r="B27" s="26" t="s">
        <v>414</v>
      </c>
      <c r="C27" s="25">
        <v>21238.39</v>
      </c>
      <c r="D27" s="33">
        <f t="shared" si="0"/>
        <v>7.723050909090909</v>
      </c>
      <c r="E27" s="10">
        <v>42284</v>
      </c>
      <c r="F27" s="10"/>
      <c r="G27" s="33">
        <f t="shared" si="1"/>
        <v>7.723050909090909</v>
      </c>
      <c r="H27" s="33">
        <f t="shared" si="2"/>
        <v>417.15955589418797</v>
      </c>
      <c r="I27" s="344">
        <f t="shared" si="3"/>
        <v>424.88</v>
      </c>
      <c r="J27" s="6"/>
      <c r="L27" s="4" t="str">
        <f t="shared" si="4"/>
        <v>Augusto Wilke= 424,88;</v>
      </c>
    </row>
    <row r="28" spans="2:12">
      <c r="B28" s="26" t="s">
        <v>620</v>
      </c>
      <c r="C28" s="25">
        <v>45662.54</v>
      </c>
      <c r="D28" s="33">
        <f t="shared" si="0"/>
        <v>16.604559999999999</v>
      </c>
      <c r="E28" s="10">
        <v>42284</v>
      </c>
      <c r="F28" s="10"/>
      <c r="G28" s="33">
        <f t="shared" si="1"/>
        <v>16.604559999999999</v>
      </c>
      <c r="H28" s="33">
        <f t="shared" si="2"/>
        <v>896.89307463515797</v>
      </c>
      <c r="I28" s="344">
        <f t="shared" si="3"/>
        <v>913.5</v>
      </c>
      <c r="J28" s="6"/>
      <c r="L28" s="4" t="str">
        <f t="shared" si="4"/>
        <v>Auto Peças Procarro Ltda = 913,5;</v>
      </c>
    </row>
    <row r="29" spans="2:12">
      <c r="B29" s="26" t="s">
        <v>621</v>
      </c>
      <c r="C29" s="25">
        <v>25435.5</v>
      </c>
      <c r="D29" s="33">
        <f t="shared" si="0"/>
        <v>9.2492727272727269</v>
      </c>
      <c r="E29" s="10">
        <v>42284</v>
      </c>
      <c r="F29" s="10"/>
      <c r="G29" s="33">
        <f t="shared" si="1"/>
        <v>9.2492727272727269</v>
      </c>
      <c r="H29" s="33">
        <f t="shared" si="2"/>
        <v>499.59822208494228</v>
      </c>
      <c r="I29" s="344">
        <f t="shared" si="3"/>
        <v>508.85</v>
      </c>
      <c r="J29" s="6"/>
      <c r="L29" s="4" t="str">
        <f t="shared" si="4"/>
        <v>Bardusch Arrendam. Texteis Ltda = 508,85;</v>
      </c>
    </row>
    <row r="30" spans="2:12">
      <c r="B30" s="26" t="s">
        <v>203</v>
      </c>
      <c r="C30" s="25">
        <v>1671714.28</v>
      </c>
      <c r="D30" s="33">
        <f t="shared" si="0"/>
        <v>607.89610181818182</v>
      </c>
      <c r="E30" s="10">
        <v>42284</v>
      </c>
      <c r="F30" s="10"/>
      <c r="G30" s="33">
        <f t="shared" si="1"/>
        <v>607.89610181818182</v>
      </c>
      <c r="H30" s="33">
        <f t="shared" si="2"/>
        <v>32835.426161153089</v>
      </c>
      <c r="I30" s="344">
        <f t="shared" si="3"/>
        <v>33443.32</v>
      </c>
      <c r="J30" s="6"/>
      <c r="L30" s="4" t="str">
        <f t="shared" si="4"/>
        <v>Baumhardt Irmãos S/A= 33443,32;</v>
      </c>
    </row>
    <row r="31" spans="2:12">
      <c r="B31" s="26" t="s">
        <v>622</v>
      </c>
      <c r="C31" s="25">
        <v>393921.6</v>
      </c>
      <c r="D31" s="33">
        <f t="shared" si="0"/>
        <v>143.24421818181816</v>
      </c>
      <c r="E31" s="10">
        <v>42284</v>
      </c>
      <c r="F31" s="10"/>
      <c r="G31" s="33">
        <f t="shared" si="1"/>
        <v>143.24421818181818</v>
      </c>
      <c r="H31" s="33">
        <f t="shared" si="2"/>
        <v>7737.3171748483737</v>
      </c>
      <c r="I31" s="344">
        <f t="shared" si="3"/>
        <v>7880.56</v>
      </c>
      <c r="J31" s="6"/>
      <c r="L31" s="4" t="str">
        <f t="shared" si="4"/>
        <v>Belpar Distr. de Cosméticos Ltda= 7880,56;</v>
      </c>
    </row>
    <row r="32" spans="2:12">
      <c r="B32" s="26" t="s">
        <v>623</v>
      </c>
      <c r="C32" s="25">
        <v>1414932.01</v>
      </c>
      <c r="D32" s="33">
        <f t="shared" si="0"/>
        <v>514.52073090909096</v>
      </c>
      <c r="E32" s="10">
        <v>42284</v>
      </c>
      <c r="F32" s="10"/>
      <c r="G32" s="33">
        <f t="shared" si="1"/>
        <v>514.52073090909096</v>
      </c>
      <c r="H32" s="33">
        <f t="shared" si="2"/>
        <v>27791.768063025058</v>
      </c>
      <c r="I32" s="344">
        <f t="shared" si="3"/>
        <v>28306.29</v>
      </c>
      <c r="J32" s="6"/>
      <c r="L32" s="4" t="str">
        <f t="shared" si="4"/>
        <v>Bem Forte Distr. de Prod. Ind. Ltda = 28306,29;</v>
      </c>
    </row>
    <row r="33" spans="2:12">
      <c r="B33" s="26" t="s">
        <v>255</v>
      </c>
      <c r="C33" s="25">
        <v>694545.98</v>
      </c>
      <c r="D33" s="33">
        <f t="shared" si="0"/>
        <v>252.56217454545455</v>
      </c>
      <c r="E33" s="10">
        <v>42284</v>
      </c>
      <c r="F33" s="10"/>
      <c r="G33" s="33">
        <f t="shared" si="1"/>
        <v>252.56217454545452</v>
      </c>
      <c r="H33" s="33">
        <f t="shared" si="2"/>
        <v>13642.111881592415</v>
      </c>
      <c r="I33" s="344">
        <f t="shared" si="3"/>
        <v>13894.67</v>
      </c>
      <c r="J33" s="6"/>
      <c r="L33" s="4" t="str">
        <f t="shared" si="4"/>
        <v>Beralv Clorosul S/A Ind. Com. = 13894,67;</v>
      </c>
    </row>
    <row r="34" spans="2:12">
      <c r="B34" s="26" t="s">
        <v>341</v>
      </c>
      <c r="C34" s="25">
        <v>145887.51999999999</v>
      </c>
      <c r="D34" s="33">
        <f t="shared" si="0"/>
        <v>53.050007272727271</v>
      </c>
      <c r="E34" s="10">
        <v>42284</v>
      </c>
      <c r="F34" s="10"/>
      <c r="G34" s="33">
        <f t="shared" si="1"/>
        <v>53.050007272727271</v>
      </c>
      <c r="H34" s="33">
        <f t="shared" si="2"/>
        <v>2865.4890061678152</v>
      </c>
      <c r="I34" s="344">
        <f t="shared" si="3"/>
        <v>2918.54</v>
      </c>
      <c r="J34" s="6"/>
      <c r="L34" s="4" t="str">
        <f t="shared" si="4"/>
        <v>Besa Borracha Esponja S/A= 2918,54;</v>
      </c>
    </row>
    <row r="35" spans="2:12">
      <c r="B35" s="26" t="s">
        <v>344</v>
      </c>
      <c r="C35" s="25">
        <v>141589.28</v>
      </c>
      <c r="D35" s="33">
        <f t="shared" si="0"/>
        <v>51.487010909090912</v>
      </c>
      <c r="E35" s="10">
        <v>42284</v>
      </c>
      <c r="F35" s="10"/>
      <c r="G35" s="33">
        <f t="shared" si="1"/>
        <v>51.487010909090905</v>
      </c>
      <c r="H35" s="33">
        <f t="shared" si="2"/>
        <v>2781.0639678515099</v>
      </c>
      <c r="I35" s="344">
        <f t="shared" si="3"/>
        <v>2832.55</v>
      </c>
      <c r="J35" s="6"/>
      <c r="L35" s="4" t="str">
        <f t="shared" si="4"/>
        <v>Boa Safra Com. Frut. Verd. e Cere. = 2832,55;</v>
      </c>
    </row>
    <row r="36" spans="2:12">
      <c r="B36" s="26" t="s">
        <v>140</v>
      </c>
      <c r="C36" s="25">
        <v>40454080</v>
      </c>
      <c r="D36" s="33">
        <f t="shared" si="0"/>
        <v>14710.574545454547</v>
      </c>
      <c r="E36" s="10">
        <v>42284</v>
      </c>
      <c r="F36" s="10"/>
      <c r="G36" s="33">
        <f t="shared" si="1"/>
        <v>14710.574545454545</v>
      </c>
      <c r="H36" s="33">
        <f t="shared" si="2"/>
        <v>794589.70510043134</v>
      </c>
      <c r="I36" s="344">
        <f t="shared" si="3"/>
        <v>809300.28</v>
      </c>
      <c r="J36" s="6"/>
      <c r="L36" s="4" t="str">
        <f t="shared" si="4"/>
        <v>Bradesco S/A = 809300,28;</v>
      </c>
    </row>
    <row r="37" spans="2:12">
      <c r="B37" s="26" t="s">
        <v>624</v>
      </c>
      <c r="C37" s="25">
        <v>640034.11</v>
      </c>
      <c r="D37" s="33">
        <f t="shared" si="0"/>
        <v>232.73967636363633</v>
      </c>
      <c r="E37" s="10">
        <v>42284</v>
      </c>
      <c r="F37" s="10"/>
      <c r="G37" s="33">
        <f t="shared" si="1"/>
        <v>232.73967636363636</v>
      </c>
      <c r="H37" s="33">
        <f t="shared" si="2"/>
        <v>12571.402308966539</v>
      </c>
      <c r="I37" s="344">
        <f t="shared" si="3"/>
        <v>12804.14</v>
      </c>
      <c r="J37" s="6"/>
      <c r="L37" s="4" t="str">
        <f t="shared" si="4"/>
        <v>Bretzke Ind. Com. de Prod. Alim. Ltda = 12804,14;</v>
      </c>
    </row>
    <row r="38" spans="2:12">
      <c r="B38" s="26" t="s">
        <v>461</v>
      </c>
      <c r="C38" s="25">
        <v>6316196.6399999997</v>
      </c>
      <c r="D38" s="33">
        <f t="shared" si="0"/>
        <v>2296.7987781818183</v>
      </c>
      <c r="E38" s="10">
        <v>42284</v>
      </c>
      <c r="F38" s="10"/>
      <c r="G38" s="33">
        <f t="shared" si="1"/>
        <v>2296.7987781818179</v>
      </c>
      <c r="H38" s="33">
        <f t="shared" si="2"/>
        <v>124061.27702159918</v>
      </c>
      <c r="I38" s="344">
        <f t="shared" si="3"/>
        <v>126358.08</v>
      </c>
      <c r="J38" s="6"/>
      <c r="L38" s="4" t="str">
        <f t="shared" si="4"/>
        <v>BRF Brasil Foods S/A= 126358,08;</v>
      </c>
    </row>
    <row r="39" spans="2:12">
      <c r="B39" s="26" t="s">
        <v>780</v>
      </c>
      <c r="C39" s="25">
        <v>3540793.91</v>
      </c>
      <c r="D39" s="33">
        <f t="shared" si="0"/>
        <v>1287.561421818182</v>
      </c>
      <c r="E39" s="10">
        <v>42284</v>
      </c>
      <c r="F39" s="10"/>
      <c r="G39" s="33">
        <f t="shared" si="1"/>
        <v>1287.5614218181818</v>
      </c>
      <c r="H39" s="33">
        <f t="shared" si="2"/>
        <v>69547.456987485653</v>
      </c>
      <c r="I39" s="344">
        <f t="shared" si="3"/>
        <v>70835.02</v>
      </c>
      <c r="J39" s="6"/>
      <c r="L39" s="4" t="str">
        <f t="shared" si="4"/>
        <v>Buschle Irmaos Ltda= 70835,02;</v>
      </c>
    </row>
    <row r="40" spans="2:12">
      <c r="B40" s="26" t="s">
        <v>182</v>
      </c>
      <c r="C40" s="25">
        <v>2891000.25</v>
      </c>
      <c r="D40" s="33">
        <f t="shared" si="0"/>
        <v>1051.2728181818181</v>
      </c>
      <c r="E40" s="10">
        <v>42284</v>
      </c>
      <c r="F40" s="10"/>
      <c r="G40" s="33">
        <f t="shared" si="1"/>
        <v>1051.2728181818181</v>
      </c>
      <c r="H40" s="33">
        <f t="shared" si="2"/>
        <v>56784.359849309971</v>
      </c>
      <c r="I40" s="344">
        <f t="shared" si="3"/>
        <v>57835.63</v>
      </c>
      <c r="J40" s="6"/>
      <c r="L40" s="4" t="str">
        <f t="shared" si="4"/>
        <v>Café Damasco S/A= 57835,63;</v>
      </c>
    </row>
    <row r="41" spans="2:12">
      <c r="B41" s="26" t="s">
        <v>625</v>
      </c>
      <c r="C41" s="25">
        <v>969633.73</v>
      </c>
      <c r="D41" s="33">
        <f t="shared" si="0"/>
        <v>352.59408363636362</v>
      </c>
      <c r="E41" s="10">
        <v>42284</v>
      </c>
      <c r="F41" s="10"/>
      <c r="G41" s="33">
        <f t="shared" si="1"/>
        <v>352.59408363636362</v>
      </c>
      <c r="H41" s="33">
        <f t="shared" si="2"/>
        <v>19045.321994125963</v>
      </c>
      <c r="I41" s="344">
        <f t="shared" si="3"/>
        <v>19397.919999999998</v>
      </c>
      <c r="J41" s="6"/>
      <c r="L41" s="4" t="str">
        <f t="shared" si="4"/>
        <v>Campeiro Prod. Alim. I. E C. Ltda = 19397,92;</v>
      </c>
    </row>
    <row r="42" spans="2:12">
      <c r="B42" s="26" t="s">
        <v>626</v>
      </c>
      <c r="C42" s="25">
        <v>3325881.61</v>
      </c>
      <c r="D42" s="33">
        <f t="shared" si="0"/>
        <v>1209.4114945454546</v>
      </c>
      <c r="E42" s="10">
        <v>42284</v>
      </c>
      <c r="F42" s="10"/>
      <c r="G42" s="33">
        <f t="shared" si="1"/>
        <v>1209.4114945454544</v>
      </c>
      <c r="H42" s="33">
        <f t="shared" si="2"/>
        <v>65326.199179139599</v>
      </c>
      <c r="I42" s="344">
        <f t="shared" si="3"/>
        <v>66535.61</v>
      </c>
      <c r="J42" s="6"/>
      <c r="L42" s="4" t="str">
        <f t="shared" si="4"/>
        <v>Carlos Stern e Cia Ltda = 66535,61;</v>
      </c>
    </row>
    <row r="43" spans="2:12">
      <c r="B43" s="26" t="s">
        <v>781</v>
      </c>
      <c r="C43" s="25">
        <v>3626809.4</v>
      </c>
      <c r="D43" s="33">
        <f t="shared" si="0"/>
        <v>1318.8397818181818</v>
      </c>
      <c r="E43" s="10">
        <v>42284</v>
      </c>
      <c r="F43" s="10"/>
      <c r="G43" s="33">
        <f t="shared" si="1"/>
        <v>1318.8397818181818</v>
      </c>
      <c r="H43" s="33">
        <f t="shared" si="2"/>
        <v>71236.953395095683</v>
      </c>
      <c r="I43" s="344">
        <f t="shared" si="3"/>
        <v>72555.789999999994</v>
      </c>
      <c r="J43" s="6"/>
      <c r="L43" s="4" t="str">
        <f t="shared" si="4"/>
        <v>Casa Do Panificador Ind. e Com. Ltda= 72555,79;</v>
      </c>
    </row>
    <row r="44" spans="2:12">
      <c r="B44" s="26" t="s">
        <v>781</v>
      </c>
      <c r="C44" s="25">
        <v>3591867.19</v>
      </c>
      <c r="D44" s="33">
        <f t="shared" si="0"/>
        <v>1306.1335236363636</v>
      </c>
      <c r="E44" s="10">
        <v>42284</v>
      </c>
      <c r="F44" s="10"/>
      <c r="G44" s="33">
        <f t="shared" si="1"/>
        <v>1306.1335236363636</v>
      </c>
      <c r="H44" s="33">
        <f t="shared" si="2"/>
        <v>70550.626568742024</v>
      </c>
      <c r="I44" s="344">
        <f t="shared" si="3"/>
        <v>71856.759999999995</v>
      </c>
      <c r="J44" s="6"/>
      <c r="L44" s="4" t="str">
        <f t="shared" si="4"/>
        <v>Casa Do Panificador Ind. e Com. Ltda= 71856,76;</v>
      </c>
    </row>
    <row r="45" spans="2:12">
      <c r="B45" s="26" t="s">
        <v>782</v>
      </c>
      <c r="C45" s="25">
        <v>6758460.8700000001</v>
      </c>
      <c r="D45" s="33">
        <f t="shared" si="0"/>
        <v>2457.6221345454546</v>
      </c>
      <c r="E45" s="10">
        <v>42284</v>
      </c>
      <c r="F45" s="10"/>
      <c r="G45" s="33">
        <f t="shared" si="1"/>
        <v>2457.6221345454546</v>
      </c>
      <c r="H45" s="33">
        <f t="shared" si="2"/>
        <v>132748.12898046637</v>
      </c>
      <c r="I45" s="344">
        <f t="shared" si="3"/>
        <v>135205.75</v>
      </c>
      <c r="J45" s="6"/>
      <c r="L45" s="4" t="str">
        <f t="shared" si="4"/>
        <v>Catarinense de Refrigerantes Ltda= 135205,75;</v>
      </c>
    </row>
    <row r="46" spans="2:12">
      <c r="B46" s="26" t="s">
        <v>627</v>
      </c>
      <c r="C46" s="25">
        <v>229172.36</v>
      </c>
      <c r="D46" s="33">
        <f t="shared" si="0"/>
        <v>83.335403636363637</v>
      </c>
      <c r="E46" s="10">
        <v>42284</v>
      </c>
      <c r="F46" s="10"/>
      <c r="G46" s="33">
        <f t="shared" si="1"/>
        <v>83.335403636363637</v>
      </c>
      <c r="H46" s="33">
        <f t="shared" si="2"/>
        <v>4501.3506165402823</v>
      </c>
      <c r="I46" s="344">
        <f t="shared" si="3"/>
        <v>4584.6899999999996</v>
      </c>
      <c r="J46" s="6"/>
      <c r="L46" s="4" t="str">
        <f t="shared" si="4"/>
        <v>Cena Central Atac. Sec. Molhd. Ltda = 4584,69;</v>
      </c>
    </row>
    <row r="47" spans="2:12">
      <c r="B47" s="26" t="s">
        <v>628</v>
      </c>
      <c r="C47" s="25">
        <v>771408.73</v>
      </c>
      <c r="D47" s="33">
        <f t="shared" si="0"/>
        <v>280.51226545454546</v>
      </c>
      <c r="E47" s="10">
        <v>42284</v>
      </c>
      <c r="F47" s="10"/>
      <c r="G47" s="33">
        <f t="shared" si="1"/>
        <v>280.51226545454546</v>
      </c>
      <c r="H47" s="33">
        <f t="shared" si="2"/>
        <v>15151.832281999697</v>
      </c>
      <c r="I47" s="344">
        <f t="shared" si="3"/>
        <v>15432.34</v>
      </c>
      <c r="J47" s="6"/>
      <c r="L47" s="4" t="str">
        <f t="shared" si="4"/>
        <v>Cerealista Urbano Ltda = 15432,34;</v>
      </c>
    </row>
    <row r="48" spans="2:12">
      <c r="B48" s="26" t="s">
        <v>628</v>
      </c>
      <c r="C48" s="25">
        <v>328689.40000000002</v>
      </c>
      <c r="D48" s="33">
        <f t="shared" si="0"/>
        <v>119.5234181818182</v>
      </c>
      <c r="E48" s="10">
        <v>42284</v>
      </c>
      <c r="F48" s="10"/>
      <c r="G48" s="33">
        <f t="shared" si="1"/>
        <v>119.52341818181819</v>
      </c>
      <c r="H48" s="33">
        <f t="shared" si="2"/>
        <v>6456.0413539410056</v>
      </c>
      <c r="I48" s="344">
        <f t="shared" si="3"/>
        <v>6575.56</v>
      </c>
      <c r="J48" s="6"/>
      <c r="L48" s="4" t="str">
        <f t="shared" si="4"/>
        <v>Cerealista Urbano Ltda = 6575,56;</v>
      </c>
    </row>
    <row r="49" spans="2:12">
      <c r="B49" s="26" t="s">
        <v>200</v>
      </c>
      <c r="C49" s="25">
        <v>1848751.45</v>
      </c>
      <c r="D49" s="33">
        <f t="shared" si="0"/>
        <v>672.27325454545451</v>
      </c>
      <c r="E49" s="10">
        <v>42284</v>
      </c>
      <c r="F49" s="10"/>
      <c r="G49" s="33">
        <f t="shared" si="1"/>
        <v>672.27325454545451</v>
      </c>
      <c r="H49" s="33">
        <f t="shared" si="2"/>
        <v>36312.749405239098</v>
      </c>
      <c r="I49" s="344">
        <f t="shared" si="3"/>
        <v>36985.019999999997</v>
      </c>
      <c r="J49" s="6"/>
      <c r="L49" s="4" t="str">
        <f t="shared" si="4"/>
        <v>Ceval Agrop. Industrial S/A= 36985,02;</v>
      </c>
    </row>
    <row r="50" spans="2:12">
      <c r="B50" s="26" t="s">
        <v>167</v>
      </c>
      <c r="C50" s="25">
        <v>3786704.15</v>
      </c>
      <c r="D50" s="33">
        <f t="shared" si="0"/>
        <v>1376.9833272727274</v>
      </c>
      <c r="E50" s="10">
        <v>42284</v>
      </c>
      <c r="F50" s="10"/>
      <c r="G50" s="33">
        <f t="shared" si="1"/>
        <v>1376.9833272727271</v>
      </c>
      <c r="H50" s="33">
        <f t="shared" si="2"/>
        <v>74377.56918093501</v>
      </c>
      <c r="I50" s="344">
        <f t="shared" si="3"/>
        <v>75754.55</v>
      </c>
      <c r="J50" s="6"/>
      <c r="L50" s="4" t="str">
        <f t="shared" si="4"/>
        <v>Chocolates Garoto S/A= 75754,55;</v>
      </c>
    </row>
    <row r="51" spans="2:12">
      <c r="B51" s="26" t="s">
        <v>205</v>
      </c>
      <c r="C51" s="25">
        <v>1623219.96</v>
      </c>
      <c r="D51" s="33">
        <f t="shared" si="0"/>
        <v>590.26180363636365</v>
      </c>
      <c r="E51" s="10">
        <v>42284</v>
      </c>
      <c r="F51" s="10"/>
      <c r="G51" s="33">
        <f t="shared" si="1"/>
        <v>590.26180363636365</v>
      </c>
      <c r="H51" s="33">
        <f t="shared" si="2"/>
        <v>31882.911917154812</v>
      </c>
      <c r="I51" s="344">
        <f t="shared" si="3"/>
        <v>32473.17</v>
      </c>
      <c r="J51" s="6"/>
      <c r="L51" s="4" t="str">
        <f t="shared" si="4"/>
        <v>Cia Catarinense de Radio e Televisão = 32473,17;</v>
      </c>
    </row>
    <row r="52" spans="2:12">
      <c r="B52" s="26" t="s">
        <v>240</v>
      </c>
      <c r="C52" s="25">
        <v>946119.79</v>
      </c>
      <c r="D52" s="33">
        <f t="shared" si="0"/>
        <v>344.04356000000001</v>
      </c>
      <c r="E52" s="10">
        <v>42284</v>
      </c>
      <c r="F52" s="10"/>
      <c r="G52" s="33">
        <f t="shared" si="1"/>
        <v>344.04356000000001</v>
      </c>
      <c r="H52" s="33">
        <f t="shared" si="2"/>
        <v>18583.466610185726</v>
      </c>
      <c r="I52" s="344">
        <f t="shared" si="3"/>
        <v>18927.509999999998</v>
      </c>
      <c r="J52" s="6"/>
      <c r="L52" s="4" t="str">
        <f t="shared" si="4"/>
        <v>Cia Fiat Lux Fosf. de Seg. = 18927,51;</v>
      </c>
    </row>
    <row r="53" spans="2:12">
      <c r="B53" s="26" t="s">
        <v>322</v>
      </c>
      <c r="C53" s="25">
        <v>232813.23</v>
      </c>
      <c r="D53" s="33">
        <f t="shared" si="0"/>
        <v>84.659356363636363</v>
      </c>
      <c r="E53" s="10">
        <v>42284</v>
      </c>
      <c r="F53" s="10"/>
      <c r="G53" s="33">
        <f t="shared" si="1"/>
        <v>84.659356363636363</v>
      </c>
      <c r="H53" s="33">
        <f t="shared" si="2"/>
        <v>4572.8637449962753</v>
      </c>
      <c r="I53" s="344">
        <f t="shared" si="3"/>
        <v>4657.5200000000004</v>
      </c>
      <c r="J53" s="6"/>
      <c r="L53" s="4" t="str">
        <f t="shared" si="4"/>
        <v>Cia Ind. de Conservas Aliment. Cica= 4657,52;</v>
      </c>
    </row>
    <row r="54" spans="2:12">
      <c r="B54" s="26" t="s">
        <v>381</v>
      </c>
      <c r="C54" s="25">
        <v>82425.179999999993</v>
      </c>
      <c r="D54" s="33">
        <f t="shared" si="0"/>
        <v>29.972792727272726</v>
      </c>
      <c r="E54" s="10">
        <v>42284</v>
      </c>
      <c r="F54" s="10"/>
      <c r="G54" s="33">
        <f t="shared" si="1"/>
        <v>29.972792727272726</v>
      </c>
      <c r="H54" s="33">
        <f t="shared" si="2"/>
        <v>1618.9763670079749</v>
      </c>
      <c r="I54" s="344">
        <f t="shared" si="3"/>
        <v>1648.95</v>
      </c>
      <c r="J54" s="6"/>
      <c r="L54" s="4" t="str">
        <f t="shared" si="4"/>
        <v>Cia Melhoramentos de São Paulo= 1648,95;</v>
      </c>
    </row>
    <row r="55" spans="2:12">
      <c r="B55" s="26" t="s">
        <v>146</v>
      </c>
      <c r="C55" s="25">
        <v>12471386.050000001</v>
      </c>
      <c r="D55" s="33">
        <f t="shared" si="0"/>
        <v>4535.0494727272735</v>
      </c>
      <c r="E55" s="10">
        <v>42284</v>
      </c>
      <c r="F55" s="10"/>
      <c r="G55" s="33">
        <f t="shared" si="1"/>
        <v>4535.0494727272726</v>
      </c>
      <c r="H55" s="33">
        <f t="shared" si="2"/>
        <v>244960.08718188954</v>
      </c>
      <c r="I55" s="344">
        <f t="shared" si="3"/>
        <v>249495.14</v>
      </c>
      <c r="J55" s="6"/>
      <c r="L55" s="4" t="str">
        <f t="shared" si="4"/>
        <v>CIA Mercantil e Ins. Parizotto= 249495,14;</v>
      </c>
    </row>
    <row r="56" spans="2:12">
      <c r="B56" s="26" t="s">
        <v>294</v>
      </c>
      <c r="C56" s="25">
        <v>362367.42</v>
      </c>
      <c r="D56" s="33">
        <f t="shared" si="0"/>
        <v>131.76997090909092</v>
      </c>
      <c r="E56" s="10">
        <v>42284</v>
      </c>
      <c r="F56" s="10"/>
      <c r="G56" s="33">
        <f t="shared" si="1"/>
        <v>131.76997090909092</v>
      </c>
      <c r="H56" s="33">
        <f t="shared" si="2"/>
        <v>7117.5372520102837</v>
      </c>
      <c r="I56" s="344">
        <f t="shared" si="3"/>
        <v>7249.31</v>
      </c>
      <c r="J56" s="6"/>
      <c r="L56" s="4" t="str">
        <f t="shared" si="4"/>
        <v>Cia Wetzel Ind. = 7249,31;</v>
      </c>
    </row>
    <row r="57" spans="2:12">
      <c r="B57" s="26" t="s">
        <v>274</v>
      </c>
      <c r="C57" s="25">
        <v>529999.01</v>
      </c>
      <c r="D57" s="33">
        <f t="shared" si="0"/>
        <v>192.72691272727272</v>
      </c>
      <c r="E57" s="10">
        <v>42284</v>
      </c>
      <c r="F57" s="10"/>
      <c r="G57" s="33">
        <f t="shared" si="1"/>
        <v>192.72691272727272</v>
      </c>
      <c r="H57" s="33">
        <f t="shared" si="2"/>
        <v>10410.118263953118</v>
      </c>
      <c r="I57" s="344">
        <f t="shared" si="3"/>
        <v>10602.85</v>
      </c>
      <c r="J57" s="6"/>
      <c r="L57" s="4" t="str">
        <f t="shared" si="4"/>
        <v>Cia. Ind. e Mercantil Paoletti = 10602,85;</v>
      </c>
    </row>
    <row r="58" spans="2:12">
      <c r="B58" s="26" t="s">
        <v>629</v>
      </c>
      <c r="C58" s="25">
        <v>1465752.45</v>
      </c>
      <c r="D58" s="33">
        <f t="shared" si="0"/>
        <v>533.00089090909091</v>
      </c>
      <c r="E58" s="10">
        <v>42284</v>
      </c>
      <c r="F58" s="10"/>
      <c r="G58" s="33">
        <f t="shared" si="1"/>
        <v>533.00089090909091</v>
      </c>
      <c r="H58" s="33">
        <f t="shared" si="2"/>
        <v>28789.971419341011</v>
      </c>
      <c r="I58" s="344">
        <f t="shared" si="3"/>
        <v>29322.97</v>
      </c>
      <c r="J58" s="6"/>
      <c r="L58" s="4" t="str">
        <f t="shared" si="4"/>
        <v>Cipla Ind. Produtos do Lar Ltda = 29322,97;</v>
      </c>
    </row>
    <row r="59" spans="2:12">
      <c r="B59" s="26" t="s">
        <v>630</v>
      </c>
      <c r="C59" s="25">
        <v>840939.18</v>
      </c>
      <c r="D59" s="33">
        <f t="shared" si="0"/>
        <v>305.7960654545455</v>
      </c>
      <c r="E59" s="10">
        <v>42284</v>
      </c>
      <c r="F59" s="10"/>
      <c r="G59" s="33">
        <f t="shared" si="1"/>
        <v>305.7960654545455</v>
      </c>
      <c r="H59" s="33">
        <f t="shared" si="2"/>
        <v>16517.533337641067</v>
      </c>
      <c r="I59" s="344">
        <f t="shared" si="3"/>
        <v>16823.330000000002</v>
      </c>
      <c r="J59" s="6"/>
      <c r="L59" s="4" t="str">
        <f t="shared" si="4"/>
        <v>Climapar Climat. Frutas Ltda = 16823,33;</v>
      </c>
    </row>
    <row r="60" spans="2:12">
      <c r="B60" s="26" t="s">
        <v>418</v>
      </c>
      <c r="C60" s="25">
        <v>6118.67</v>
      </c>
      <c r="D60" s="33">
        <f t="shared" si="0"/>
        <v>2.2249709090909091</v>
      </c>
      <c r="E60" s="10">
        <v>42284</v>
      </c>
      <c r="F60" s="10"/>
      <c r="G60" s="33">
        <f t="shared" si="1"/>
        <v>2.2249709090909091</v>
      </c>
      <c r="H60" s="33">
        <f t="shared" si="2"/>
        <v>120.18150433545533</v>
      </c>
      <c r="I60" s="344">
        <f t="shared" si="3"/>
        <v>122.41</v>
      </c>
      <c r="J60" s="6"/>
      <c r="L60" s="4" t="str">
        <f t="shared" si="4"/>
        <v>Cobra Comput. Sist. Brasileiros S/A= 122,41;</v>
      </c>
    </row>
    <row r="61" spans="2:12">
      <c r="B61" s="26" t="s">
        <v>631</v>
      </c>
      <c r="C61" s="25">
        <v>1251800.93</v>
      </c>
      <c r="D61" s="33">
        <f t="shared" si="0"/>
        <v>455.20033818181815</v>
      </c>
      <c r="E61" s="10">
        <v>42284</v>
      </c>
      <c r="F61" s="10"/>
      <c r="G61" s="33">
        <f t="shared" si="1"/>
        <v>455.20033818181815</v>
      </c>
      <c r="H61" s="33">
        <f t="shared" si="2"/>
        <v>24587.585030067319</v>
      </c>
      <c r="I61" s="344">
        <f t="shared" si="3"/>
        <v>25042.79</v>
      </c>
      <c r="J61" s="6"/>
      <c r="L61" s="4" t="str">
        <f t="shared" si="4"/>
        <v>Colgate Palmolive Ltda = 25042,79;</v>
      </c>
    </row>
    <row r="62" spans="2:12">
      <c r="B62" s="26" t="s">
        <v>632</v>
      </c>
      <c r="C62" s="25">
        <v>480139.36</v>
      </c>
      <c r="D62" s="33">
        <f t="shared" si="0"/>
        <v>174.5961309090909</v>
      </c>
      <c r="E62" s="10">
        <v>42284</v>
      </c>
      <c r="F62" s="10"/>
      <c r="G62" s="33">
        <f t="shared" si="1"/>
        <v>174.5961309090909</v>
      </c>
      <c r="H62" s="33">
        <f t="shared" si="2"/>
        <v>9430.7865231272062</v>
      </c>
      <c r="I62" s="344">
        <f t="shared" si="3"/>
        <v>9605.3799999999992</v>
      </c>
      <c r="J62" s="6"/>
      <c r="L62" s="4" t="str">
        <f t="shared" si="4"/>
        <v>Columbia Ind. Mat. de Limpeza Ltda = 9605,38;</v>
      </c>
    </row>
    <row r="63" spans="2:12">
      <c r="B63" s="26" t="s">
        <v>633</v>
      </c>
      <c r="C63" s="25">
        <v>177593.41</v>
      </c>
      <c r="D63" s="33">
        <f t="shared" si="0"/>
        <v>64.579421818181814</v>
      </c>
      <c r="E63" s="10">
        <v>42284</v>
      </c>
      <c r="F63" s="10"/>
      <c r="G63" s="33">
        <f t="shared" si="1"/>
        <v>64.579421818181814</v>
      </c>
      <c r="H63" s="33">
        <f t="shared" si="2"/>
        <v>3488.2487818207705</v>
      </c>
      <c r="I63" s="344">
        <f t="shared" si="3"/>
        <v>3552.83</v>
      </c>
      <c r="J63" s="6"/>
      <c r="L63" s="4" t="str">
        <f t="shared" si="4"/>
        <v>Com. de Bebidas Pagelkopd Ltda = 3552,83;</v>
      </c>
    </row>
    <row r="64" spans="2:12">
      <c r="B64" s="26" t="s">
        <v>634</v>
      </c>
      <c r="C64" s="25">
        <v>7939.11</v>
      </c>
      <c r="D64" s="33">
        <f t="shared" si="0"/>
        <v>2.8869490909090909</v>
      </c>
      <c r="E64" s="10">
        <v>42284</v>
      </c>
      <c r="F64" s="10"/>
      <c r="G64" s="33">
        <f t="shared" si="1"/>
        <v>2.8869490909090909</v>
      </c>
      <c r="H64" s="33">
        <f t="shared" si="2"/>
        <v>155.93816677229802</v>
      </c>
      <c r="I64" s="344">
        <f t="shared" si="3"/>
        <v>158.83000000000001</v>
      </c>
      <c r="J64" s="6"/>
      <c r="L64" s="4" t="str">
        <f t="shared" si="4"/>
        <v>Com. de Ferragens Milium Ltda = 158,83;</v>
      </c>
    </row>
    <row r="65" spans="2:12">
      <c r="B65" s="26" t="s">
        <v>783</v>
      </c>
      <c r="C65" s="25">
        <v>5086342.04</v>
      </c>
      <c r="D65" s="33">
        <f t="shared" si="0"/>
        <v>1849.5789236363637</v>
      </c>
      <c r="E65" s="10">
        <v>42284</v>
      </c>
      <c r="F65" s="10"/>
      <c r="G65" s="33">
        <f t="shared" si="1"/>
        <v>1849.5789236363637</v>
      </c>
      <c r="H65" s="33">
        <f t="shared" si="2"/>
        <v>99904.756741558012</v>
      </c>
      <c r="I65" s="344">
        <f t="shared" si="3"/>
        <v>101754.34</v>
      </c>
      <c r="J65" s="6"/>
      <c r="L65" s="4" t="str">
        <f t="shared" si="4"/>
        <v>Com. de Frutas e Verduras JIN Ltda= 101754,34;</v>
      </c>
    </row>
    <row r="66" spans="2:12">
      <c r="B66" s="26" t="s">
        <v>635</v>
      </c>
      <c r="C66" s="25">
        <v>100123.84</v>
      </c>
      <c r="D66" s="33">
        <f t="shared" si="0"/>
        <v>36.408669090909093</v>
      </c>
      <c r="E66" s="10">
        <v>42284</v>
      </c>
      <c r="F66" s="10"/>
      <c r="G66" s="33">
        <f t="shared" si="1"/>
        <v>36.408669090909086</v>
      </c>
      <c r="H66" s="33">
        <f t="shared" si="2"/>
        <v>1966.6093629894135</v>
      </c>
      <c r="I66" s="344">
        <f t="shared" si="3"/>
        <v>2003.02</v>
      </c>
      <c r="J66" s="6"/>
      <c r="L66" s="4" t="str">
        <f t="shared" si="4"/>
        <v>Com. de Frutas Sul Bahia Ltda = 2003,02;</v>
      </c>
    </row>
    <row r="67" spans="2:12">
      <c r="B67" s="26" t="s">
        <v>636</v>
      </c>
      <c r="C67" s="25">
        <v>1393643.05</v>
      </c>
      <c r="D67" s="33">
        <f t="shared" si="0"/>
        <v>506.77929090909095</v>
      </c>
      <c r="E67" s="10">
        <v>42284</v>
      </c>
      <c r="F67" s="10"/>
      <c r="G67" s="33">
        <f t="shared" si="1"/>
        <v>506.77929090909095</v>
      </c>
      <c r="H67" s="33">
        <f t="shared" si="2"/>
        <v>27373.615222859247</v>
      </c>
      <c r="I67" s="344">
        <f t="shared" si="3"/>
        <v>27880.39</v>
      </c>
      <c r="J67" s="6"/>
      <c r="L67" s="4" t="str">
        <f t="shared" si="4"/>
        <v>Com. de Frutas Verd. Nipo Brasileira Ltda = 27880,39;</v>
      </c>
    </row>
    <row r="68" spans="2:12">
      <c r="B68" s="26" t="s">
        <v>637</v>
      </c>
      <c r="C68" s="25">
        <v>1255087.83</v>
      </c>
      <c r="D68" s="33">
        <f t="shared" si="0"/>
        <v>456.39557454545462</v>
      </c>
      <c r="E68" s="10">
        <v>42284</v>
      </c>
      <c r="F68" s="10"/>
      <c r="G68" s="33">
        <f t="shared" si="1"/>
        <v>456.39557454545456</v>
      </c>
      <c r="H68" s="33">
        <f t="shared" si="2"/>
        <v>24652.145561457346</v>
      </c>
      <c r="I68" s="344">
        <f t="shared" si="3"/>
        <v>25108.54</v>
      </c>
      <c r="J68" s="6"/>
      <c r="L68" s="4" t="str">
        <f t="shared" si="4"/>
        <v>Com. de Pescados Dejamar Ltda = 25108,54;</v>
      </c>
    </row>
    <row r="69" spans="2:12">
      <c r="B69" s="26" t="s">
        <v>264</v>
      </c>
      <c r="C69" s="25">
        <v>611315.34</v>
      </c>
      <c r="D69" s="33">
        <f t="shared" ref="D69:D132" si="5">C69/1000/2.75</f>
        <v>222.29648727272726</v>
      </c>
      <c r="E69" s="10">
        <v>42284</v>
      </c>
      <c r="F69" s="10"/>
      <c r="G69" s="33">
        <f t="shared" si="1"/>
        <v>222.29648727272726</v>
      </c>
      <c r="H69" s="33">
        <f t="shared" si="2"/>
        <v>12007.314855113995</v>
      </c>
      <c r="I69" s="344">
        <f t="shared" si="3"/>
        <v>12229.61</v>
      </c>
      <c r="J69" s="6"/>
      <c r="L69" s="4" t="str">
        <f t="shared" si="4"/>
        <v>Com. e Import. Benjamim S/A= 12229,61;</v>
      </c>
    </row>
    <row r="70" spans="2:12">
      <c r="B70" s="26" t="s">
        <v>638</v>
      </c>
      <c r="C70" s="25">
        <v>543905.1</v>
      </c>
      <c r="D70" s="33">
        <f t="shared" si="5"/>
        <v>197.78367272727272</v>
      </c>
      <c r="E70" s="10">
        <v>42284</v>
      </c>
      <c r="F70" s="10"/>
      <c r="G70" s="33">
        <f t="shared" ref="G70:G133" si="6">C70/2750</f>
        <v>197.78367272727272</v>
      </c>
      <c r="H70" s="33">
        <f t="shared" ref="H70:H133" si="7">G70*$H$4</f>
        <v>10683.258475081391</v>
      </c>
      <c r="I70" s="344">
        <f t="shared" ref="I70:I133" si="8">ROUND(G70+H70,2)</f>
        <v>10881.04</v>
      </c>
      <c r="J70" s="6"/>
      <c r="L70" s="4" t="str">
        <f t="shared" ref="L70:L133" si="9">B70&amp;"= "&amp;I70&amp;";"</f>
        <v>Com. e Ind. Arthur Zindars Ltda = 10881,04;</v>
      </c>
    </row>
    <row r="71" spans="2:12">
      <c r="B71" s="26" t="s">
        <v>236</v>
      </c>
      <c r="C71" s="25">
        <v>1016206.48</v>
      </c>
      <c r="D71" s="33">
        <f t="shared" si="5"/>
        <v>369.52962909090905</v>
      </c>
      <c r="E71" s="10">
        <v>42284</v>
      </c>
      <c r="F71" s="10"/>
      <c r="G71" s="33">
        <f t="shared" si="6"/>
        <v>369.52962909090911</v>
      </c>
      <c r="H71" s="33">
        <f t="shared" si="7"/>
        <v>19960.093203561853</v>
      </c>
      <c r="I71" s="344">
        <f t="shared" si="8"/>
        <v>20329.62</v>
      </c>
      <c r="J71" s="6"/>
      <c r="L71" s="4" t="str">
        <f t="shared" si="9"/>
        <v>Com. e Ind. Germano Stein S/A= 20329,62;</v>
      </c>
    </row>
    <row r="72" spans="2:12">
      <c r="B72" s="26" t="s">
        <v>236</v>
      </c>
      <c r="C72" s="25">
        <v>910368.5</v>
      </c>
      <c r="D72" s="33">
        <f t="shared" si="5"/>
        <v>331.04309090909095</v>
      </c>
      <c r="E72" s="10">
        <v>42284</v>
      </c>
      <c r="F72" s="10"/>
      <c r="G72" s="33">
        <f t="shared" si="6"/>
        <v>331.04309090909089</v>
      </c>
      <c r="H72" s="33">
        <f t="shared" si="7"/>
        <v>17881.24802115688</v>
      </c>
      <c r="I72" s="344">
        <f t="shared" si="8"/>
        <v>18212.29</v>
      </c>
      <c r="J72" s="6"/>
      <c r="L72" s="4" t="str">
        <f t="shared" si="9"/>
        <v>Com. e Ind. Germano Stein S/A= 18212,29;</v>
      </c>
    </row>
    <row r="73" spans="2:12">
      <c r="B73" s="26" t="s">
        <v>639</v>
      </c>
      <c r="C73" s="25">
        <v>791736.91</v>
      </c>
      <c r="D73" s="33">
        <f t="shared" si="5"/>
        <v>287.90433090909096</v>
      </c>
      <c r="E73" s="10">
        <v>42284</v>
      </c>
      <c r="F73" s="10"/>
      <c r="G73" s="33">
        <f t="shared" si="6"/>
        <v>287.9043309090909</v>
      </c>
      <c r="H73" s="33">
        <f t="shared" si="7"/>
        <v>15551.113703093157</v>
      </c>
      <c r="I73" s="344">
        <f t="shared" si="8"/>
        <v>15839.02</v>
      </c>
      <c r="J73" s="6"/>
      <c r="L73" s="4" t="str">
        <f t="shared" si="9"/>
        <v>Com. e Repr. Nelson Ltda = 15839,02;</v>
      </c>
    </row>
    <row r="74" spans="2:12">
      <c r="B74" s="26" t="s">
        <v>640</v>
      </c>
      <c r="C74" s="25">
        <v>167884.43</v>
      </c>
      <c r="D74" s="33">
        <f t="shared" si="5"/>
        <v>61.048883636363627</v>
      </c>
      <c r="E74" s="10">
        <v>42284</v>
      </c>
      <c r="F74" s="10"/>
      <c r="G74" s="33">
        <f t="shared" si="6"/>
        <v>61.048883636363634</v>
      </c>
      <c r="H74" s="33">
        <f t="shared" si="7"/>
        <v>3297.5472368832516</v>
      </c>
      <c r="I74" s="344">
        <f t="shared" si="8"/>
        <v>3358.6</v>
      </c>
      <c r="J74" s="6"/>
      <c r="L74" s="4" t="str">
        <f t="shared" si="9"/>
        <v>Com. Frutas e Cereais Jurema Ltda = 3358,6;</v>
      </c>
    </row>
    <row r="75" spans="2:12">
      <c r="B75" s="26" t="s">
        <v>374</v>
      </c>
      <c r="C75" s="25">
        <v>94156.87</v>
      </c>
      <c r="D75" s="33">
        <f t="shared" si="5"/>
        <v>34.238861818181817</v>
      </c>
      <c r="E75" s="10">
        <v>42284</v>
      </c>
      <c r="F75" s="10"/>
      <c r="G75" s="33">
        <f t="shared" si="6"/>
        <v>34.238861818181817</v>
      </c>
      <c r="H75" s="33">
        <f t="shared" si="7"/>
        <v>1849.407515051131</v>
      </c>
      <c r="I75" s="344">
        <f t="shared" si="8"/>
        <v>1883.65</v>
      </c>
      <c r="J75" s="6"/>
      <c r="L75" s="4" t="str">
        <f t="shared" si="9"/>
        <v>Com. Vinicola Rio Grandense= 1883,65;</v>
      </c>
    </row>
    <row r="76" spans="2:12">
      <c r="B76" s="27" t="s">
        <v>641</v>
      </c>
      <c r="C76" s="25">
        <v>103815.28</v>
      </c>
      <c r="D76" s="33">
        <f t="shared" si="5"/>
        <v>37.751010909090908</v>
      </c>
      <c r="E76" s="10">
        <v>42284</v>
      </c>
      <c r="F76" s="10"/>
      <c r="G76" s="33">
        <f t="shared" si="6"/>
        <v>37.751010909090908</v>
      </c>
      <c r="H76" s="33">
        <f t="shared" si="7"/>
        <v>2039.1157757170281</v>
      </c>
      <c r="I76" s="344">
        <f t="shared" si="8"/>
        <v>2076.87</v>
      </c>
      <c r="J76" s="6"/>
      <c r="L76" s="4" t="str">
        <f t="shared" si="9"/>
        <v>Comercial Cibrasil Ltda = 2076,87;</v>
      </c>
    </row>
    <row r="77" spans="2:12">
      <c r="B77" s="26" t="s">
        <v>642</v>
      </c>
      <c r="C77" s="25">
        <v>3332505.97</v>
      </c>
      <c r="D77" s="33">
        <f t="shared" si="5"/>
        <v>1211.8203527272728</v>
      </c>
      <c r="E77" s="10">
        <v>42284</v>
      </c>
      <c r="F77" s="10"/>
      <c r="G77" s="33">
        <f t="shared" si="6"/>
        <v>1211.8203527272728</v>
      </c>
      <c r="H77" s="33">
        <f t="shared" si="7"/>
        <v>65456.313329773599</v>
      </c>
      <c r="I77" s="344">
        <f t="shared" si="8"/>
        <v>66668.13</v>
      </c>
      <c r="J77" s="6"/>
      <c r="L77" s="4" t="str">
        <f t="shared" si="9"/>
        <v>Comercial Imporradora Reis Ltda = 66668,13;</v>
      </c>
    </row>
    <row r="78" spans="2:12">
      <c r="B78" s="26" t="s">
        <v>643</v>
      </c>
      <c r="C78" s="25">
        <v>73323.02</v>
      </c>
      <c r="D78" s="33">
        <f t="shared" si="5"/>
        <v>26.662916363636363</v>
      </c>
      <c r="E78" s="10">
        <v>42284</v>
      </c>
      <c r="F78" s="10"/>
      <c r="G78" s="33">
        <f t="shared" si="6"/>
        <v>26.662916363636366</v>
      </c>
      <c r="H78" s="33">
        <f t="shared" si="7"/>
        <v>1440.1938404945322</v>
      </c>
      <c r="I78" s="344">
        <f t="shared" si="8"/>
        <v>1466.86</v>
      </c>
      <c r="J78" s="6"/>
      <c r="L78" s="4" t="str">
        <f t="shared" si="9"/>
        <v>Comercio de Bebidas Jaragua Ltda = 1466,86;</v>
      </c>
    </row>
    <row r="79" spans="2:12">
      <c r="B79" s="26" t="s">
        <v>644</v>
      </c>
      <c r="C79" s="25">
        <v>314277.63</v>
      </c>
      <c r="D79" s="33">
        <f t="shared" si="5"/>
        <v>114.28277454545454</v>
      </c>
      <c r="E79" s="10">
        <v>42284</v>
      </c>
      <c r="F79" s="10"/>
      <c r="G79" s="33">
        <f t="shared" si="6"/>
        <v>114.28277454545454</v>
      </c>
      <c r="H79" s="33">
        <f t="shared" si="7"/>
        <v>6172.9686929318996</v>
      </c>
      <c r="I79" s="344">
        <f t="shared" si="8"/>
        <v>6287.25</v>
      </c>
      <c r="J79" s="6"/>
      <c r="L79" s="4" t="str">
        <f t="shared" si="9"/>
        <v>Conde Com. e Imp. Ltda = 6287,25;</v>
      </c>
    </row>
    <row r="80" spans="2:12">
      <c r="B80" s="26" t="s">
        <v>331</v>
      </c>
      <c r="C80" s="25">
        <v>174053.67</v>
      </c>
      <c r="D80" s="33">
        <f t="shared" si="5"/>
        <v>63.292243636363644</v>
      </c>
      <c r="E80" s="10">
        <v>42284</v>
      </c>
      <c r="F80" s="10"/>
      <c r="G80" s="33">
        <f t="shared" si="6"/>
        <v>63.292243636363644</v>
      </c>
      <c r="H80" s="33">
        <f t="shared" si="7"/>
        <v>3418.7220254903295</v>
      </c>
      <c r="I80" s="344">
        <f t="shared" si="8"/>
        <v>3482.01</v>
      </c>
      <c r="J80" s="6"/>
      <c r="L80" s="4" t="str">
        <f t="shared" si="9"/>
        <v>Conservas Ritter S/A= 3482,01;</v>
      </c>
    </row>
    <row r="81" spans="2:12">
      <c r="B81" s="26" t="s">
        <v>340</v>
      </c>
      <c r="C81" s="25">
        <v>146443.76</v>
      </c>
      <c r="D81" s="33">
        <f t="shared" si="5"/>
        <v>53.252276363636362</v>
      </c>
      <c r="E81" s="10">
        <v>42284</v>
      </c>
      <c r="F81" s="10"/>
      <c r="G81" s="33">
        <f t="shared" si="6"/>
        <v>53.252276363636369</v>
      </c>
      <c r="H81" s="33">
        <f t="shared" si="7"/>
        <v>2876.414543902577</v>
      </c>
      <c r="I81" s="344">
        <f t="shared" si="8"/>
        <v>2929.67</v>
      </c>
      <c r="J81" s="6"/>
      <c r="L81" s="4" t="str">
        <f t="shared" si="9"/>
        <v>Contaregis Eqptos de Controle S/A= 2929,67;</v>
      </c>
    </row>
    <row r="82" spans="2:12">
      <c r="B82" s="26" t="s">
        <v>153</v>
      </c>
      <c r="C82" s="25">
        <v>8345423.8600000003</v>
      </c>
      <c r="D82" s="33">
        <f t="shared" si="5"/>
        <v>3034.6995854545457</v>
      </c>
      <c r="E82" s="10">
        <v>42284</v>
      </c>
      <c r="F82" s="10"/>
      <c r="G82" s="33">
        <f t="shared" si="6"/>
        <v>3034.6995854545457</v>
      </c>
      <c r="H82" s="33">
        <f t="shared" si="7"/>
        <v>163918.88985871151</v>
      </c>
      <c r="I82" s="344">
        <f t="shared" si="8"/>
        <v>166953.59</v>
      </c>
      <c r="J82" s="6"/>
      <c r="L82" s="4" t="str">
        <f t="shared" si="9"/>
        <v>Coop Cental Catarinense de Laticionios= 166953,59;</v>
      </c>
    </row>
    <row r="83" spans="2:12">
      <c r="B83" s="26" t="s">
        <v>645</v>
      </c>
      <c r="C83" s="25">
        <v>3648907.44</v>
      </c>
      <c r="D83" s="33">
        <f t="shared" si="5"/>
        <v>1326.8754327272727</v>
      </c>
      <c r="E83" s="10">
        <v>42284</v>
      </c>
      <c r="F83" s="10"/>
      <c r="G83" s="33">
        <f t="shared" si="6"/>
        <v>1326.8754327272727</v>
      </c>
      <c r="H83" s="33">
        <f t="shared" si="7"/>
        <v>71670.997997936676</v>
      </c>
      <c r="I83" s="344">
        <f t="shared" si="8"/>
        <v>72997.87</v>
      </c>
      <c r="J83" s="6"/>
      <c r="L83" s="4" t="str">
        <f t="shared" si="9"/>
        <v>Coop Central Laticinios do Parana Ltda= 72997,87;</v>
      </c>
    </row>
    <row r="84" spans="2:12">
      <c r="B84" s="26" t="s">
        <v>646</v>
      </c>
      <c r="C84" s="25">
        <v>603473.73</v>
      </c>
      <c r="D84" s="33">
        <f t="shared" si="5"/>
        <v>219.44499272727271</v>
      </c>
      <c r="E84" s="10">
        <v>42284</v>
      </c>
      <c r="F84" s="10"/>
      <c r="G84" s="33">
        <f t="shared" si="6"/>
        <v>219.44499272727273</v>
      </c>
      <c r="H84" s="33">
        <f t="shared" si="7"/>
        <v>11853.291760844824</v>
      </c>
      <c r="I84" s="344">
        <f t="shared" si="8"/>
        <v>12072.74</v>
      </c>
      <c r="J84" s="6"/>
      <c r="L84" s="4" t="str">
        <f t="shared" si="9"/>
        <v>Coop. Agrícola Mista Juriti Ltda = 12072,74;</v>
      </c>
    </row>
    <row r="85" spans="2:12">
      <c r="B85" s="26" t="s">
        <v>647</v>
      </c>
      <c r="C85" s="25">
        <v>261636.76</v>
      </c>
      <c r="D85" s="33">
        <f t="shared" si="5"/>
        <v>95.140639999999991</v>
      </c>
      <c r="E85" s="10">
        <v>42284</v>
      </c>
      <c r="F85" s="10"/>
      <c r="G85" s="33">
        <f t="shared" si="6"/>
        <v>95.140640000000005</v>
      </c>
      <c r="H85" s="33">
        <f t="shared" si="7"/>
        <v>5139.0088705967946</v>
      </c>
      <c r="I85" s="344">
        <f t="shared" si="8"/>
        <v>5234.1499999999996</v>
      </c>
      <c r="J85" s="6"/>
      <c r="L85" s="4" t="str">
        <f t="shared" si="9"/>
        <v>Cooper-Disc Dist. e Repres. Ltda = 5234,15;</v>
      </c>
    </row>
    <row r="86" spans="2:12">
      <c r="B86" s="26" t="s">
        <v>308</v>
      </c>
      <c r="C86" s="25">
        <v>294303.43</v>
      </c>
      <c r="D86" s="33">
        <f t="shared" si="5"/>
        <v>107.01942909090909</v>
      </c>
      <c r="E86" s="10">
        <v>42284</v>
      </c>
      <c r="F86" s="10"/>
      <c r="G86" s="33">
        <f t="shared" si="6"/>
        <v>107.01942909090909</v>
      </c>
      <c r="H86" s="33">
        <f t="shared" si="7"/>
        <v>5780.6400653220999</v>
      </c>
      <c r="I86" s="344">
        <f t="shared" si="8"/>
        <v>5887.66</v>
      </c>
      <c r="J86" s="6"/>
      <c r="L86" s="4" t="str">
        <f t="shared" si="9"/>
        <v>Copa Cia de Papeis= 5887,66;</v>
      </c>
    </row>
    <row r="87" spans="2:12">
      <c r="B87" s="26" t="s">
        <v>648</v>
      </c>
      <c r="C87" s="25">
        <v>2629.51</v>
      </c>
      <c r="D87" s="33">
        <f t="shared" si="5"/>
        <v>0.95618545454545467</v>
      </c>
      <c r="E87" s="10">
        <v>42284</v>
      </c>
      <c r="F87" s="10"/>
      <c r="G87" s="33">
        <f t="shared" si="6"/>
        <v>0.95618545454545467</v>
      </c>
      <c r="H87" s="33">
        <f t="shared" si="7"/>
        <v>51.648228694327884</v>
      </c>
      <c r="I87" s="344">
        <f t="shared" si="8"/>
        <v>52.6</v>
      </c>
      <c r="J87" s="6"/>
      <c r="L87" s="4" t="str">
        <f t="shared" si="9"/>
        <v>Copapel Com. Repres. de Papel Ltda = 52,6;</v>
      </c>
    </row>
    <row r="88" spans="2:12">
      <c r="B88" s="26" t="s">
        <v>649</v>
      </c>
      <c r="C88" s="25">
        <v>52590.3</v>
      </c>
      <c r="D88" s="33">
        <f t="shared" si="5"/>
        <v>19.123745454545457</v>
      </c>
      <c r="E88" s="10">
        <v>42284</v>
      </c>
      <c r="F88" s="10"/>
      <c r="G88" s="33">
        <f t="shared" si="6"/>
        <v>19.123745454545457</v>
      </c>
      <c r="H88" s="33">
        <f t="shared" si="7"/>
        <v>1032.966538063484</v>
      </c>
      <c r="I88" s="344">
        <f t="shared" si="8"/>
        <v>1052.0899999999999</v>
      </c>
      <c r="J88" s="6"/>
      <c r="L88" s="4" t="str">
        <f t="shared" si="9"/>
        <v>Cordel Ind. Com. De Fumos Ltda = 1052,09;</v>
      </c>
    </row>
    <row r="89" spans="2:12">
      <c r="B89" s="26" t="s">
        <v>650</v>
      </c>
      <c r="C89" s="25">
        <v>624206.44999999995</v>
      </c>
      <c r="D89" s="33">
        <f t="shared" si="5"/>
        <v>226.9841636363636</v>
      </c>
      <c r="E89" s="10">
        <v>42284</v>
      </c>
      <c r="F89" s="10"/>
      <c r="G89" s="33">
        <f t="shared" si="6"/>
        <v>226.98416363636363</v>
      </c>
      <c r="H89" s="33">
        <f t="shared" si="7"/>
        <v>12260.519063275871</v>
      </c>
      <c r="I89" s="344">
        <f t="shared" si="8"/>
        <v>12487.5</v>
      </c>
      <c r="J89" s="6"/>
      <c r="L89" s="4" t="str">
        <f t="shared" si="9"/>
        <v>Corning Brasil-Vidros Espec. Ltda = 12487,5;</v>
      </c>
    </row>
    <row r="90" spans="2:12">
      <c r="B90" s="26" t="s">
        <v>269</v>
      </c>
      <c r="C90" s="25">
        <v>574144.53</v>
      </c>
      <c r="D90" s="33">
        <f t="shared" si="5"/>
        <v>208.77982909090909</v>
      </c>
      <c r="E90" s="10">
        <v>42284</v>
      </c>
      <c r="F90" s="10"/>
      <c r="G90" s="33">
        <f t="shared" si="6"/>
        <v>208.77982909090909</v>
      </c>
      <c r="H90" s="33">
        <f t="shared" si="7"/>
        <v>11277.214381781165</v>
      </c>
      <c r="I90" s="344">
        <f t="shared" si="8"/>
        <v>11485.99</v>
      </c>
      <c r="J90" s="6"/>
      <c r="L90" s="4" t="str">
        <f t="shared" si="9"/>
        <v>Coroa S/A Ind. Alimentares= 11485,99;</v>
      </c>
    </row>
    <row r="91" spans="2:12">
      <c r="B91" s="26" t="s">
        <v>377</v>
      </c>
      <c r="C91" s="25">
        <v>89757.49</v>
      </c>
      <c r="D91" s="33">
        <f t="shared" si="5"/>
        <v>32.639087272727274</v>
      </c>
      <c r="E91" s="10">
        <v>42284</v>
      </c>
      <c r="F91" s="10"/>
      <c r="G91" s="33">
        <f t="shared" si="6"/>
        <v>32.639087272727274</v>
      </c>
      <c r="H91" s="33">
        <f t="shared" si="7"/>
        <v>1762.9959081915822</v>
      </c>
      <c r="I91" s="344">
        <f t="shared" si="8"/>
        <v>1795.63</v>
      </c>
      <c r="J91" s="6"/>
      <c r="L91" s="4" t="str">
        <f t="shared" si="9"/>
        <v>Costa S/S Sabonetes e Perfumes= 1795,63;</v>
      </c>
    </row>
    <row r="92" spans="2:12">
      <c r="B92" s="26" t="s">
        <v>156</v>
      </c>
      <c r="C92" s="25">
        <v>7903715.8799999999</v>
      </c>
      <c r="D92" s="33">
        <f t="shared" si="5"/>
        <v>2874.0785018181818</v>
      </c>
      <c r="E92" s="10">
        <v>42284</v>
      </c>
      <c r="F92" s="10"/>
      <c r="G92" s="33">
        <f t="shared" si="6"/>
        <v>2874.0785018181818</v>
      </c>
      <c r="H92" s="33">
        <f t="shared" si="7"/>
        <v>155242.96363399678</v>
      </c>
      <c r="I92" s="344">
        <f t="shared" si="8"/>
        <v>158117.04</v>
      </c>
      <c r="J92" s="6"/>
      <c r="L92" s="4" t="str">
        <f t="shared" si="9"/>
        <v>Cravil-Coop Reg. Agrop. Alto Vale Itajai= 158117,04;</v>
      </c>
    </row>
    <row r="93" spans="2:12">
      <c r="B93" s="26" t="s">
        <v>291</v>
      </c>
      <c r="C93" s="25">
        <v>378953.59</v>
      </c>
      <c r="D93" s="33">
        <f t="shared" si="5"/>
        <v>137.80130545454546</v>
      </c>
      <c r="E93" s="10">
        <v>42284</v>
      </c>
      <c r="F93" s="10"/>
      <c r="G93" s="33">
        <f t="shared" si="6"/>
        <v>137.80130545454546</v>
      </c>
      <c r="H93" s="33">
        <f t="shared" si="7"/>
        <v>7443.3189761045069</v>
      </c>
      <c r="I93" s="344">
        <f t="shared" si="8"/>
        <v>7581.12</v>
      </c>
      <c r="J93" s="6"/>
      <c r="L93" s="4" t="str">
        <f t="shared" si="9"/>
        <v>Cricket da Amazônia S/A= 7581,12;</v>
      </c>
    </row>
    <row r="94" spans="2:12">
      <c r="B94" s="26" t="s">
        <v>337</v>
      </c>
      <c r="C94" s="25">
        <v>157973.18</v>
      </c>
      <c r="D94" s="33">
        <f t="shared" si="5"/>
        <v>57.44479272727272</v>
      </c>
      <c r="E94" s="10">
        <v>42284</v>
      </c>
      <c r="F94" s="10"/>
      <c r="G94" s="33">
        <f t="shared" si="6"/>
        <v>57.444792727272727</v>
      </c>
      <c r="H94" s="33">
        <f t="shared" si="7"/>
        <v>3102.8727512769383</v>
      </c>
      <c r="I94" s="344">
        <f t="shared" si="8"/>
        <v>3160.32</v>
      </c>
      <c r="J94" s="6"/>
      <c r="L94" s="4" t="str">
        <f t="shared" si="9"/>
        <v>CVG CIA. Volta Grande de Papel= 3160,32;</v>
      </c>
    </row>
    <row r="95" spans="2:12">
      <c r="B95" s="26" t="s">
        <v>651</v>
      </c>
      <c r="C95" s="25">
        <v>573487.15</v>
      </c>
      <c r="D95" s="33">
        <f t="shared" si="5"/>
        <v>208.54078181818184</v>
      </c>
      <c r="E95" s="10">
        <v>42284</v>
      </c>
      <c r="F95" s="10"/>
      <c r="G95" s="33">
        <f t="shared" si="6"/>
        <v>208.54078181818181</v>
      </c>
      <c r="H95" s="33">
        <f t="shared" si="7"/>
        <v>11264.30227550316</v>
      </c>
      <c r="I95" s="344">
        <f t="shared" si="8"/>
        <v>11472.84</v>
      </c>
      <c r="J95" s="6"/>
      <c r="L95" s="4" t="str">
        <f t="shared" si="9"/>
        <v>Deycon Com. Repr. Ltda = 11472,84;</v>
      </c>
    </row>
    <row r="96" spans="2:12">
      <c r="B96" s="26" t="s">
        <v>652</v>
      </c>
      <c r="C96" s="25">
        <v>1098732.81</v>
      </c>
      <c r="D96" s="33">
        <f t="shared" si="5"/>
        <v>399.53920363636365</v>
      </c>
      <c r="E96" s="10">
        <v>42284</v>
      </c>
      <c r="F96" s="10"/>
      <c r="G96" s="33">
        <f t="shared" si="6"/>
        <v>399.53920363636365</v>
      </c>
      <c r="H96" s="33">
        <f t="shared" si="7"/>
        <v>21581.056335530764</v>
      </c>
      <c r="I96" s="344">
        <f t="shared" si="8"/>
        <v>21980.6</v>
      </c>
      <c r="J96" s="6"/>
      <c r="L96" s="4" t="str">
        <f t="shared" si="9"/>
        <v>Digebel Distr. Geral de Bebidas Ltda = 21980,6;</v>
      </c>
    </row>
    <row r="97" spans="2:12">
      <c r="B97" s="26" t="s">
        <v>653</v>
      </c>
      <c r="C97" s="25">
        <v>1926827.83</v>
      </c>
      <c r="D97" s="33">
        <f t="shared" si="5"/>
        <v>700.66466545454557</v>
      </c>
      <c r="E97" s="10">
        <v>42284</v>
      </c>
      <c r="F97" s="10"/>
      <c r="G97" s="33">
        <f t="shared" si="6"/>
        <v>700.66466545454546</v>
      </c>
      <c r="H97" s="33">
        <f t="shared" si="7"/>
        <v>37846.307646076843</v>
      </c>
      <c r="I97" s="344">
        <f t="shared" si="8"/>
        <v>38546.97</v>
      </c>
      <c r="J97" s="6"/>
      <c r="L97" s="4" t="str">
        <f t="shared" si="9"/>
        <v>Dipam Distr. de Produtos  A. Monteiro Ltda= 38546,97;</v>
      </c>
    </row>
    <row r="98" spans="2:12">
      <c r="B98" s="26" t="s">
        <v>654</v>
      </c>
      <c r="C98" s="25">
        <v>351950.49</v>
      </c>
      <c r="D98" s="33">
        <f t="shared" si="5"/>
        <v>127.98199636363637</v>
      </c>
      <c r="E98" s="10">
        <v>42284</v>
      </c>
      <c r="F98" s="10"/>
      <c r="G98" s="33">
        <f t="shared" si="6"/>
        <v>127.98199636363636</v>
      </c>
      <c r="H98" s="33">
        <f t="shared" si="7"/>
        <v>6912.9303165231377</v>
      </c>
      <c r="I98" s="344">
        <f t="shared" si="8"/>
        <v>7040.91</v>
      </c>
      <c r="J98" s="6"/>
      <c r="L98" s="4" t="str">
        <f t="shared" si="9"/>
        <v>Disk-Med Dist. de Medicamentos Ltda= 7040,91;</v>
      </c>
    </row>
    <row r="99" spans="2:12">
      <c r="B99" s="26" t="s">
        <v>655</v>
      </c>
      <c r="C99" s="25">
        <v>133751.29999999999</v>
      </c>
      <c r="D99" s="33">
        <f t="shared" si="5"/>
        <v>48.636836363636355</v>
      </c>
      <c r="E99" s="10">
        <v>42284</v>
      </c>
      <c r="F99" s="10"/>
      <c r="G99" s="33">
        <f t="shared" si="6"/>
        <v>48.636836363636363</v>
      </c>
      <c r="H99" s="33">
        <f t="shared" si="7"/>
        <v>2627.1121732047627</v>
      </c>
      <c r="I99" s="344">
        <f t="shared" si="8"/>
        <v>2675.75</v>
      </c>
      <c r="J99" s="6"/>
      <c r="L99" s="4" t="str">
        <f t="shared" si="9"/>
        <v>Distilaria Doble W. Exp. Imp. Ltda= 2675,75;</v>
      </c>
    </row>
    <row r="100" spans="2:12">
      <c r="B100" s="26" t="s">
        <v>656</v>
      </c>
      <c r="C100" s="25">
        <v>79896.800000000003</v>
      </c>
      <c r="D100" s="33">
        <f t="shared" si="5"/>
        <v>29.053381818181819</v>
      </c>
      <c r="E100" s="10">
        <v>42284</v>
      </c>
      <c r="F100" s="10"/>
      <c r="G100" s="33">
        <f t="shared" si="6"/>
        <v>29.053381818181819</v>
      </c>
      <c r="H100" s="33">
        <f t="shared" si="7"/>
        <v>1569.3145104391981</v>
      </c>
      <c r="I100" s="344">
        <f t="shared" si="8"/>
        <v>1598.37</v>
      </c>
      <c r="J100" s="6"/>
      <c r="L100" s="4" t="str">
        <f t="shared" si="9"/>
        <v>Distr. de Cocos Nortesul Ltda = 1598,37;</v>
      </c>
    </row>
    <row r="101" spans="2:12">
      <c r="B101" s="26" t="s">
        <v>784</v>
      </c>
      <c r="C101" s="25">
        <v>8971096.7799999993</v>
      </c>
      <c r="D101" s="33">
        <f t="shared" si="5"/>
        <v>3262.2170109090907</v>
      </c>
      <c r="E101" s="10">
        <v>42284</v>
      </c>
      <c r="F101" s="10"/>
      <c r="G101" s="33">
        <f t="shared" si="6"/>
        <v>3262.2170109090907</v>
      </c>
      <c r="H101" s="33">
        <f t="shared" si="7"/>
        <v>176208.21298735825</v>
      </c>
      <c r="I101" s="344">
        <f t="shared" si="8"/>
        <v>179470.43</v>
      </c>
      <c r="J101" s="6"/>
      <c r="L101" s="4" t="str">
        <f t="shared" si="9"/>
        <v>Distr. Muller Com. e Represe. Ltda= 179470,43;</v>
      </c>
    </row>
    <row r="102" spans="2:12">
      <c r="B102" s="26" t="s">
        <v>657</v>
      </c>
      <c r="C102" s="25">
        <v>221536.65</v>
      </c>
      <c r="D102" s="33">
        <f t="shared" si="5"/>
        <v>80.558781818181814</v>
      </c>
      <c r="E102" s="10">
        <v>42284</v>
      </c>
      <c r="F102" s="10"/>
      <c r="G102" s="33">
        <f t="shared" si="6"/>
        <v>80.558781818181814</v>
      </c>
      <c r="H102" s="33">
        <f t="shared" si="7"/>
        <v>4351.3717625623294</v>
      </c>
      <c r="I102" s="344">
        <f t="shared" si="8"/>
        <v>4431.93</v>
      </c>
      <c r="J102" s="6"/>
      <c r="L102" s="4" t="str">
        <f t="shared" si="9"/>
        <v>Distr. Rb de Generos Aliment. Ltda = 4431,93;</v>
      </c>
    </row>
    <row r="103" spans="2:12">
      <c r="B103" s="26" t="s">
        <v>658</v>
      </c>
      <c r="C103" s="25">
        <v>162473.69</v>
      </c>
      <c r="D103" s="33">
        <f t="shared" si="5"/>
        <v>59.081341818181819</v>
      </c>
      <c r="E103" s="10">
        <v>42284</v>
      </c>
      <c r="F103" s="10"/>
      <c r="G103" s="33">
        <f t="shared" si="6"/>
        <v>59.081341818181819</v>
      </c>
      <c r="H103" s="33">
        <f t="shared" si="7"/>
        <v>3191.2707302620383</v>
      </c>
      <c r="I103" s="344">
        <f t="shared" si="8"/>
        <v>3250.35</v>
      </c>
      <c r="J103" s="6"/>
      <c r="L103" s="4" t="str">
        <f t="shared" si="9"/>
        <v>Distr. Santa Catarina Ltda = 3250,35;</v>
      </c>
    </row>
    <row r="104" spans="2:12">
      <c r="B104" s="26" t="s">
        <v>659</v>
      </c>
      <c r="C104" s="25">
        <v>113271.42</v>
      </c>
      <c r="D104" s="33">
        <f t="shared" si="5"/>
        <v>41.189607272727272</v>
      </c>
      <c r="E104" s="10">
        <v>42284</v>
      </c>
      <c r="F104" s="10"/>
      <c r="G104" s="33">
        <f t="shared" si="6"/>
        <v>41.189607272727272</v>
      </c>
      <c r="H104" s="33">
        <f t="shared" si="7"/>
        <v>2224.8510957141307</v>
      </c>
      <c r="I104" s="344">
        <f t="shared" si="8"/>
        <v>2266.04</v>
      </c>
      <c r="J104" s="6"/>
      <c r="L104" s="4" t="str">
        <f t="shared" si="9"/>
        <v>Distr. Sul de Bebidas Ltda = 2266,04;</v>
      </c>
    </row>
    <row r="105" spans="2:12">
      <c r="B105" s="26" t="s">
        <v>785</v>
      </c>
      <c r="C105" s="25">
        <v>16358011.779999999</v>
      </c>
      <c r="D105" s="33">
        <f t="shared" si="5"/>
        <v>5948.3679199999997</v>
      </c>
      <c r="E105" s="10">
        <v>42284</v>
      </c>
      <c r="F105" s="10"/>
      <c r="G105" s="33">
        <f t="shared" si="6"/>
        <v>5948.3679199999997</v>
      </c>
      <c r="H105" s="33">
        <f t="shared" si="7"/>
        <v>321300.29298156284</v>
      </c>
      <c r="I105" s="344">
        <f t="shared" si="8"/>
        <v>327248.65999999997</v>
      </c>
      <c r="J105" s="6"/>
      <c r="L105" s="4" t="str">
        <f t="shared" si="9"/>
        <v>Distri. de Bebidas Joinville Ltda= 327248,66;</v>
      </c>
    </row>
    <row r="106" spans="2:12">
      <c r="B106" s="26" t="s">
        <v>660</v>
      </c>
      <c r="C106" s="25">
        <v>66091.850000000006</v>
      </c>
      <c r="D106" s="33">
        <f t="shared" si="5"/>
        <v>24.033400000000004</v>
      </c>
      <c r="E106" s="10">
        <v>42284</v>
      </c>
      <c r="F106" s="10"/>
      <c r="G106" s="33">
        <f t="shared" si="6"/>
        <v>24.033400000000004</v>
      </c>
      <c r="H106" s="33">
        <f t="shared" si="7"/>
        <v>1298.1608678541684</v>
      </c>
      <c r="I106" s="344">
        <f t="shared" si="8"/>
        <v>1322.19</v>
      </c>
      <c r="J106" s="6"/>
      <c r="L106" s="4" t="str">
        <f t="shared" si="9"/>
        <v>Dixie Ind. Com. Ltda = 1322,19;</v>
      </c>
    </row>
    <row r="107" spans="2:12">
      <c r="B107" s="26" t="s">
        <v>319</v>
      </c>
      <c r="C107" s="25">
        <v>247427.26</v>
      </c>
      <c r="D107" s="33">
        <f t="shared" si="5"/>
        <v>89.973549090909103</v>
      </c>
      <c r="E107" s="10">
        <v>42284</v>
      </c>
      <c r="F107" s="10"/>
      <c r="G107" s="33">
        <f t="shared" si="6"/>
        <v>89.973549090909088</v>
      </c>
      <c r="H107" s="33">
        <f t="shared" si="7"/>
        <v>4859.9091502564825</v>
      </c>
      <c r="I107" s="344">
        <f t="shared" si="8"/>
        <v>4949.88</v>
      </c>
      <c r="J107" s="6"/>
      <c r="L107" s="4" t="str">
        <f t="shared" si="9"/>
        <v>Dixie-Lakelka S/A= 4949,88;</v>
      </c>
    </row>
    <row r="108" spans="2:12">
      <c r="B108" s="26" t="s">
        <v>661</v>
      </c>
      <c r="C108" s="25">
        <v>2357309.7999999998</v>
      </c>
      <c r="D108" s="33">
        <f t="shared" si="5"/>
        <v>857.20356363636358</v>
      </c>
      <c r="E108" s="10">
        <v>42284</v>
      </c>
      <c r="F108" s="10"/>
      <c r="G108" s="33">
        <f t="shared" si="6"/>
        <v>857.20356363636358</v>
      </c>
      <c r="H108" s="33">
        <f t="shared" si="7"/>
        <v>46301.735172629233</v>
      </c>
      <c r="I108" s="344">
        <f t="shared" si="8"/>
        <v>47158.94</v>
      </c>
      <c r="J108" s="6"/>
      <c r="L108" s="4" t="str">
        <f t="shared" si="9"/>
        <v>Dorval Friedrich e Filho Ltda= 47158,94;</v>
      </c>
    </row>
    <row r="109" spans="2:12">
      <c r="B109" s="26" t="s">
        <v>662</v>
      </c>
      <c r="C109" s="25">
        <v>1141260.1599999999</v>
      </c>
      <c r="D109" s="33">
        <f t="shared" si="5"/>
        <v>415.00369454545449</v>
      </c>
      <c r="E109" s="10">
        <v>42284</v>
      </c>
      <c r="F109" s="10"/>
      <c r="G109" s="33">
        <f t="shared" si="6"/>
        <v>415.00369454545449</v>
      </c>
      <c r="H109" s="33">
        <f t="shared" si="7"/>
        <v>22416.368731590759</v>
      </c>
      <c r="I109" s="344">
        <f t="shared" si="8"/>
        <v>22831.37</v>
      </c>
      <c r="J109" s="6"/>
      <c r="L109" s="4" t="str">
        <f t="shared" si="9"/>
        <v>Dovale Repr. Comerciais Ltda = 22831,37;</v>
      </c>
    </row>
    <row r="110" spans="2:12">
      <c r="B110" s="26" t="s">
        <v>663</v>
      </c>
      <c r="C110" s="25">
        <v>367727.58</v>
      </c>
      <c r="D110" s="33">
        <f t="shared" si="5"/>
        <v>133.71912</v>
      </c>
      <c r="E110" s="10">
        <v>42284</v>
      </c>
      <c r="F110" s="10"/>
      <c r="G110" s="33">
        <f t="shared" si="6"/>
        <v>133.71912</v>
      </c>
      <c r="H110" s="33">
        <f t="shared" si="7"/>
        <v>7222.8202779421827</v>
      </c>
      <c r="I110" s="344">
        <f t="shared" si="8"/>
        <v>7356.54</v>
      </c>
      <c r="J110" s="6"/>
      <c r="L110" s="4" t="str">
        <f t="shared" si="9"/>
        <v>Dunga Produtos Alimentícios Ltda= 7356,54;</v>
      </c>
    </row>
    <row r="111" spans="2:12">
      <c r="B111" s="26" t="s">
        <v>664</v>
      </c>
      <c r="C111" s="25">
        <v>2743545.13</v>
      </c>
      <c r="D111" s="33">
        <f t="shared" si="5"/>
        <v>997.65277454545458</v>
      </c>
      <c r="E111" s="10">
        <v>42284</v>
      </c>
      <c r="F111" s="10"/>
      <c r="G111" s="33">
        <f t="shared" si="6"/>
        <v>997.65277454545446</v>
      </c>
      <c r="H111" s="33">
        <f t="shared" si="7"/>
        <v>53888.080405645727</v>
      </c>
      <c r="I111" s="344">
        <f t="shared" si="8"/>
        <v>54885.73</v>
      </c>
      <c r="J111" s="6"/>
      <c r="L111" s="4" t="str">
        <f t="shared" si="9"/>
        <v>Edmag Com. e Repres. Ltda = 54885,73;</v>
      </c>
    </row>
    <row r="112" spans="2:12">
      <c r="B112" s="26" t="s">
        <v>665</v>
      </c>
      <c r="C112" s="25">
        <v>452630.58</v>
      </c>
      <c r="D112" s="33">
        <f t="shared" si="5"/>
        <v>164.5929381818182</v>
      </c>
      <c r="E112" s="10">
        <v>42284</v>
      </c>
      <c r="F112" s="10"/>
      <c r="G112" s="33">
        <f t="shared" si="6"/>
        <v>164.5929381818182</v>
      </c>
      <c r="H112" s="33">
        <f t="shared" si="7"/>
        <v>8890.4654136650061</v>
      </c>
      <c r="I112" s="344">
        <f t="shared" si="8"/>
        <v>9055.06</v>
      </c>
      <c r="J112" s="6"/>
      <c r="L112" s="4" t="str">
        <f t="shared" si="9"/>
        <v>Effen Produtos Alimentícios Ltda = 9055,06;</v>
      </c>
    </row>
    <row r="113" spans="2:12">
      <c r="B113" s="26" t="s">
        <v>666</v>
      </c>
      <c r="C113" s="25">
        <v>30947.37</v>
      </c>
      <c r="D113" s="33">
        <f t="shared" si="5"/>
        <v>11.25358909090909</v>
      </c>
      <c r="E113" s="10">
        <v>42284</v>
      </c>
      <c r="F113" s="10"/>
      <c r="G113" s="33">
        <f t="shared" si="6"/>
        <v>11.25358909090909</v>
      </c>
      <c r="H113" s="33">
        <f t="shared" si="7"/>
        <v>607.86110083170684</v>
      </c>
      <c r="I113" s="344">
        <f t="shared" si="8"/>
        <v>619.11</v>
      </c>
      <c r="J113" s="6"/>
      <c r="L113" s="4" t="str">
        <f t="shared" si="9"/>
        <v>Eldorado Indust. Plastica Ltda = 619,11;</v>
      </c>
    </row>
    <row r="114" spans="2:12">
      <c r="B114" s="26" t="s">
        <v>667</v>
      </c>
      <c r="C114" s="25">
        <v>1688705</v>
      </c>
      <c r="D114" s="33">
        <f t="shared" si="5"/>
        <v>614.07454545454539</v>
      </c>
      <c r="E114" s="10">
        <v>42284</v>
      </c>
      <c r="F114" s="10"/>
      <c r="G114" s="33">
        <f t="shared" si="6"/>
        <v>614.0745454545455</v>
      </c>
      <c r="H114" s="33">
        <f t="shared" si="7"/>
        <v>33169.153963002595</v>
      </c>
      <c r="I114" s="344">
        <f t="shared" si="8"/>
        <v>33783.230000000003</v>
      </c>
      <c r="J114" s="6"/>
      <c r="L114" s="4" t="str">
        <f t="shared" si="9"/>
        <v>Embafest Com. de Artigos P/ Festas Ltda = 33783,23;</v>
      </c>
    </row>
    <row r="115" spans="2:12">
      <c r="B115" s="26" t="s">
        <v>147</v>
      </c>
      <c r="C115" s="25">
        <v>12333538.77</v>
      </c>
      <c r="D115" s="33">
        <f t="shared" si="5"/>
        <v>4484.9231890909086</v>
      </c>
      <c r="E115" s="10">
        <v>42284</v>
      </c>
      <c r="F115" s="10"/>
      <c r="G115" s="33">
        <f t="shared" si="6"/>
        <v>4484.9231890909086</v>
      </c>
      <c r="H115" s="33">
        <f t="shared" si="7"/>
        <v>242252.52271461955</v>
      </c>
      <c r="I115" s="344">
        <f t="shared" si="8"/>
        <v>246737.45</v>
      </c>
      <c r="J115" s="6"/>
      <c r="L115" s="4" t="str">
        <f t="shared" si="9"/>
        <v>Emilio Romani S/A Ind. Com.= 246737,45;</v>
      </c>
    </row>
    <row r="116" spans="2:12">
      <c r="B116" s="26" t="s">
        <v>307</v>
      </c>
      <c r="C116" s="25">
        <v>309625.40999999997</v>
      </c>
      <c r="D116" s="33">
        <f t="shared" si="5"/>
        <v>112.59105818181818</v>
      </c>
      <c r="E116" s="10">
        <v>42284</v>
      </c>
      <c r="F116" s="10"/>
      <c r="G116" s="33">
        <f t="shared" si="6"/>
        <v>112.59105818181817</v>
      </c>
      <c r="H116" s="33">
        <f t="shared" si="7"/>
        <v>6081.5908611319337</v>
      </c>
      <c r="I116" s="344">
        <f t="shared" si="8"/>
        <v>6194.18</v>
      </c>
      <c r="J116" s="6"/>
      <c r="L116" s="4" t="str">
        <f t="shared" si="9"/>
        <v>Engepasa Engenharia Pavimento S/A= 6194,18;</v>
      </c>
    </row>
    <row r="117" spans="2:12">
      <c r="B117" s="26" t="s">
        <v>352</v>
      </c>
      <c r="C117" s="25">
        <v>129200.21</v>
      </c>
      <c r="D117" s="33">
        <f t="shared" si="5"/>
        <v>46.981894545454544</v>
      </c>
      <c r="E117" s="10">
        <v>42284</v>
      </c>
      <c r="F117" s="10"/>
      <c r="G117" s="33">
        <f t="shared" si="6"/>
        <v>46.981894545454544</v>
      </c>
      <c r="H117" s="33">
        <f t="shared" si="7"/>
        <v>2537.7207135303488</v>
      </c>
      <c r="I117" s="344">
        <f t="shared" si="8"/>
        <v>2584.6999999999998</v>
      </c>
      <c r="J117" s="6"/>
      <c r="L117" s="4" t="str">
        <f t="shared" si="9"/>
        <v>Ervin Zils= 2584,7;</v>
      </c>
    </row>
    <row r="118" spans="2:12">
      <c r="B118" s="26" t="s">
        <v>668</v>
      </c>
      <c r="C118" s="25">
        <v>265479.90000000002</v>
      </c>
      <c r="D118" s="33">
        <f t="shared" si="5"/>
        <v>96.538145454545472</v>
      </c>
      <c r="E118" s="10">
        <v>42284</v>
      </c>
      <c r="F118" s="10"/>
      <c r="G118" s="33">
        <f t="shared" si="6"/>
        <v>96.538145454545457</v>
      </c>
      <c r="H118" s="33">
        <f t="shared" si="7"/>
        <v>5214.4949397215814</v>
      </c>
      <c r="I118" s="344">
        <f t="shared" si="8"/>
        <v>5311.03</v>
      </c>
      <c r="J118" s="6"/>
      <c r="L118" s="4" t="str">
        <f t="shared" si="9"/>
        <v>Espabra Generos Alimenticios Ltda= 5311,03;</v>
      </c>
    </row>
    <row r="119" spans="2:12">
      <c r="B119" s="26" t="s">
        <v>669</v>
      </c>
      <c r="C119" s="25">
        <v>910216.8</v>
      </c>
      <c r="D119" s="33">
        <f t="shared" si="5"/>
        <v>330.98792727272729</v>
      </c>
      <c r="E119" s="10">
        <v>42284</v>
      </c>
      <c r="F119" s="10"/>
      <c r="G119" s="33">
        <f t="shared" si="6"/>
        <v>330.98792727272729</v>
      </c>
      <c r="H119" s="33">
        <f t="shared" si="7"/>
        <v>17878.268364759708</v>
      </c>
      <c r="I119" s="344">
        <f t="shared" si="8"/>
        <v>18209.259999999998</v>
      </c>
      <c r="J119" s="6"/>
      <c r="L119" s="4" t="str">
        <f t="shared" si="9"/>
        <v>Extrafruta Ind. de Aliment. Ltda = 18209,26;</v>
      </c>
    </row>
    <row r="120" spans="2:12">
      <c r="B120" s="26" t="s">
        <v>670</v>
      </c>
      <c r="C120" s="25">
        <v>25283.8</v>
      </c>
      <c r="D120" s="33">
        <f t="shared" si="5"/>
        <v>9.194109090909091</v>
      </c>
      <c r="E120" s="10">
        <v>42284</v>
      </c>
      <c r="F120" s="10"/>
      <c r="G120" s="33">
        <f t="shared" si="6"/>
        <v>9.194109090909091</v>
      </c>
      <c r="H120" s="33">
        <f t="shared" si="7"/>
        <v>496.61856568776966</v>
      </c>
      <c r="I120" s="344">
        <f t="shared" si="8"/>
        <v>505.81</v>
      </c>
      <c r="J120" s="6"/>
      <c r="L120" s="4" t="str">
        <f t="shared" si="9"/>
        <v>Florida Com. e Imp. Ltda = 505,81;</v>
      </c>
    </row>
    <row r="121" spans="2:12">
      <c r="B121" s="26" t="s">
        <v>671</v>
      </c>
      <c r="C121" s="25">
        <v>200247.69</v>
      </c>
      <c r="D121" s="33">
        <f t="shared" si="5"/>
        <v>72.817341818181816</v>
      </c>
      <c r="E121" s="10">
        <v>42284</v>
      </c>
      <c r="F121" s="10"/>
      <c r="G121" s="33">
        <f t="shared" si="6"/>
        <v>72.817341818181816</v>
      </c>
      <c r="H121" s="33">
        <f t="shared" si="7"/>
        <v>3933.2189223965197</v>
      </c>
      <c r="I121" s="344">
        <f t="shared" si="8"/>
        <v>4006.04</v>
      </c>
      <c r="J121" s="6"/>
      <c r="L121" s="4" t="str">
        <f t="shared" si="9"/>
        <v>Formularios Ltda = 4006,04;</v>
      </c>
    </row>
    <row r="122" spans="2:12">
      <c r="B122" s="26" t="s">
        <v>786</v>
      </c>
      <c r="C122" s="25">
        <v>6206667.2199999997</v>
      </c>
      <c r="D122" s="33">
        <f t="shared" si="5"/>
        <v>2256.9698981818178</v>
      </c>
      <c r="E122" s="10">
        <v>42284</v>
      </c>
      <c r="F122" s="10" t="s">
        <v>460</v>
      </c>
      <c r="G122" s="33">
        <f t="shared" si="6"/>
        <v>2256.9698981818183</v>
      </c>
      <c r="H122" s="33">
        <f t="shared" si="7"/>
        <v>121909.92542646662</v>
      </c>
      <c r="I122" s="344">
        <f t="shared" si="8"/>
        <v>124166.9</v>
      </c>
      <c r="J122" s="6"/>
      <c r="L122" s="4" t="str">
        <f t="shared" si="9"/>
        <v>Frangos Camboriú Com. e Abate Ltda= 124166,9;</v>
      </c>
    </row>
    <row r="123" spans="2:12">
      <c r="B123" s="26" t="s">
        <v>672</v>
      </c>
      <c r="C123" s="25">
        <v>1359054.81</v>
      </c>
      <c r="D123" s="33">
        <f t="shared" si="5"/>
        <v>494.20174909090912</v>
      </c>
      <c r="E123" s="10">
        <v>42284</v>
      </c>
      <c r="F123" s="10"/>
      <c r="G123" s="33">
        <f t="shared" si="6"/>
        <v>494.20174909090912</v>
      </c>
      <c r="H123" s="33">
        <f t="shared" si="7"/>
        <v>26694.240993571548</v>
      </c>
      <c r="I123" s="344">
        <f t="shared" si="8"/>
        <v>27188.44</v>
      </c>
      <c r="J123" s="6"/>
      <c r="L123" s="4" t="str">
        <f t="shared" si="9"/>
        <v>Franzner Alimentos Ltda= 27188,44;</v>
      </c>
    </row>
    <row r="124" spans="2:12">
      <c r="B124" s="26" t="s">
        <v>673</v>
      </c>
      <c r="C124" s="25">
        <v>419812.21</v>
      </c>
      <c r="D124" s="33">
        <f t="shared" si="5"/>
        <v>152.65898545454544</v>
      </c>
      <c r="E124" s="10">
        <v>42284</v>
      </c>
      <c r="F124" s="10"/>
      <c r="G124" s="33">
        <f t="shared" si="6"/>
        <v>152.65898545454547</v>
      </c>
      <c r="H124" s="33">
        <f t="shared" si="7"/>
        <v>8245.8545625425286</v>
      </c>
      <c r="I124" s="344">
        <f t="shared" si="8"/>
        <v>8398.51</v>
      </c>
      <c r="J124" s="6"/>
      <c r="L124" s="4" t="str">
        <f t="shared" si="9"/>
        <v>Freitag Import. e Export. Ltda = 8398,51;</v>
      </c>
    </row>
    <row r="125" spans="2:12">
      <c r="B125" s="26" t="s">
        <v>787</v>
      </c>
      <c r="C125" s="25">
        <v>36593243.740000002</v>
      </c>
      <c r="D125" s="33">
        <f t="shared" si="5"/>
        <v>13306.634087272729</v>
      </c>
      <c r="E125" s="10">
        <v>42284</v>
      </c>
      <c r="F125" s="10"/>
      <c r="G125" s="33">
        <f t="shared" si="6"/>
        <v>13306.634087272729</v>
      </c>
      <c r="H125" s="33">
        <f t="shared" si="7"/>
        <v>718756.05011990911</v>
      </c>
      <c r="I125" s="344">
        <f t="shared" si="8"/>
        <v>732062.68</v>
      </c>
      <c r="J125" s="6"/>
      <c r="L125" s="4" t="str">
        <f t="shared" si="9"/>
        <v>Frigorifico Cemim Ltda= 732062,68;</v>
      </c>
    </row>
    <row r="126" spans="2:12">
      <c r="B126" s="26" t="s">
        <v>188</v>
      </c>
      <c r="C126" s="25">
        <v>2206416.09</v>
      </c>
      <c r="D126" s="33">
        <f t="shared" si="5"/>
        <v>802.33312363636355</v>
      </c>
      <c r="E126" s="10">
        <v>42284</v>
      </c>
      <c r="F126" s="10"/>
      <c r="G126" s="33">
        <f t="shared" si="6"/>
        <v>802.33312363636355</v>
      </c>
      <c r="H126" s="33">
        <f t="shared" si="7"/>
        <v>43337.915737595482</v>
      </c>
      <c r="I126" s="344">
        <f t="shared" si="8"/>
        <v>44140.25</v>
      </c>
      <c r="J126" s="6"/>
      <c r="L126" s="4" t="str">
        <f t="shared" si="9"/>
        <v>Frigorifico Gumz S/A = 44140,25;</v>
      </c>
    </row>
    <row r="127" spans="2:12">
      <c r="B127" s="26" t="s">
        <v>674</v>
      </c>
      <c r="C127" s="25">
        <v>1179135.29</v>
      </c>
      <c r="D127" s="33">
        <f t="shared" si="5"/>
        <v>428.77646909090907</v>
      </c>
      <c r="E127" s="10">
        <v>42284</v>
      </c>
      <c r="F127" s="10"/>
      <c r="G127" s="33">
        <f t="shared" si="6"/>
        <v>428.77646909090913</v>
      </c>
      <c r="H127" s="33">
        <f t="shared" si="7"/>
        <v>23160.303295850797</v>
      </c>
      <c r="I127" s="344">
        <f t="shared" si="8"/>
        <v>23589.08</v>
      </c>
      <c r="J127" s="6"/>
      <c r="L127" s="4" t="str">
        <f t="shared" si="9"/>
        <v>Fritex Ind. Alimenticias Lisboense Ltda = 23589,08;</v>
      </c>
    </row>
    <row r="128" spans="2:12">
      <c r="B128" s="26" t="s">
        <v>675</v>
      </c>
      <c r="C128" s="25">
        <v>30340.560000000001</v>
      </c>
      <c r="D128" s="33">
        <f t="shared" si="5"/>
        <v>11.03293090909091</v>
      </c>
      <c r="E128" s="10">
        <v>42284</v>
      </c>
      <c r="F128" s="10"/>
      <c r="G128" s="33">
        <f t="shared" si="6"/>
        <v>11.03293090909091</v>
      </c>
      <c r="H128" s="33">
        <f t="shared" si="7"/>
        <v>595.94227882532357</v>
      </c>
      <c r="I128" s="344">
        <f t="shared" si="8"/>
        <v>606.98</v>
      </c>
      <c r="J128" s="6"/>
      <c r="L128" s="4" t="str">
        <f t="shared" si="9"/>
        <v>Fruvil Com. de Frutas Ltda = 606,98;</v>
      </c>
    </row>
    <row r="129" spans="2:12">
      <c r="B129" s="26" t="s">
        <v>676</v>
      </c>
      <c r="C129" s="25">
        <v>41465.43</v>
      </c>
      <c r="D129" s="33">
        <f t="shared" si="5"/>
        <v>15.078338181818181</v>
      </c>
      <c r="E129" s="10">
        <v>42284</v>
      </c>
      <c r="F129" s="10"/>
      <c r="G129" s="33">
        <f t="shared" si="6"/>
        <v>15.078338181818182</v>
      </c>
      <c r="H129" s="33">
        <f t="shared" si="7"/>
        <v>814.45440844440373</v>
      </c>
      <c r="I129" s="344">
        <f t="shared" si="8"/>
        <v>829.53</v>
      </c>
      <c r="J129" s="6"/>
      <c r="L129" s="4" t="str">
        <f t="shared" si="9"/>
        <v>Galpão Ind. Com. de Alimentos Ltda = 829,53;</v>
      </c>
    </row>
    <row r="130" spans="2:12">
      <c r="B130" s="26" t="s">
        <v>677</v>
      </c>
      <c r="C130" s="25">
        <v>1216858.72</v>
      </c>
      <c r="D130" s="33">
        <f t="shared" si="5"/>
        <v>442.49408</v>
      </c>
      <c r="E130" s="10">
        <v>42284</v>
      </c>
      <c r="F130" s="10"/>
      <c r="G130" s="33">
        <f t="shared" si="6"/>
        <v>442.49408</v>
      </c>
      <c r="H130" s="33">
        <f t="shared" si="7"/>
        <v>23901.258203713653</v>
      </c>
      <c r="I130" s="344">
        <f t="shared" si="8"/>
        <v>24343.75</v>
      </c>
      <c r="J130" s="6"/>
      <c r="L130" s="4" t="str">
        <f t="shared" si="9"/>
        <v>Garpe Com. E Repr. Ltda= 24343,75;</v>
      </c>
    </row>
    <row r="131" spans="2:12">
      <c r="B131" s="26" t="s">
        <v>678</v>
      </c>
      <c r="C131" s="25">
        <v>248893.72</v>
      </c>
      <c r="D131" s="33">
        <f t="shared" si="5"/>
        <v>90.506807272727272</v>
      </c>
      <c r="E131" s="10">
        <v>42284</v>
      </c>
      <c r="F131" s="10"/>
      <c r="G131" s="33">
        <f t="shared" si="6"/>
        <v>90.506807272727272</v>
      </c>
      <c r="H131" s="33">
        <f t="shared" si="7"/>
        <v>4888.7130192096656</v>
      </c>
      <c r="I131" s="344">
        <f t="shared" si="8"/>
        <v>4979.22</v>
      </c>
      <c r="J131" s="6"/>
      <c r="L131" s="4" t="str">
        <f t="shared" si="9"/>
        <v>Gessy Lever Alimentos Ltda = 4979,22;</v>
      </c>
    </row>
    <row r="132" spans="2:12">
      <c r="B132" s="26" t="s">
        <v>788</v>
      </c>
      <c r="C132" s="25">
        <v>10215413.710000001</v>
      </c>
      <c r="D132" s="33">
        <f t="shared" si="5"/>
        <v>3714.6958945454548</v>
      </c>
      <c r="E132" s="10">
        <v>42284</v>
      </c>
      <c r="F132" s="10"/>
      <c r="G132" s="33">
        <f t="shared" si="6"/>
        <v>3714.6958945454548</v>
      </c>
      <c r="H132" s="33">
        <f t="shared" si="7"/>
        <v>200648.79901626249</v>
      </c>
      <c r="I132" s="344">
        <f t="shared" si="8"/>
        <v>204363.49</v>
      </c>
      <c r="J132" s="6"/>
      <c r="L132" s="4" t="str">
        <f t="shared" si="9"/>
        <v>Gloria Distr. de Produtos Alimentos Ltda= 204363,49;</v>
      </c>
    </row>
    <row r="133" spans="2:12">
      <c r="B133" s="26" t="s">
        <v>679</v>
      </c>
      <c r="C133" s="25">
        <v>160147.57999999999</v>
      </c>
      <c r="D133" s="33">
        <f t="shared" ref="D133:D196" si="10">C133/1000/2.75</f>
        <v>58.235483636363625</v>
      </c>
      <c r="E133" s="10">
        <v>42284</v>
      </c>
      <c r="F133" s="10"/>
      <c r="G133" s="33">
        <f t="shared" si="6"/>
        <v>58.235483636363632</v>
      </c>
      <c r="H133" s="33">
        <f t="shared" si="7"/>
        <v>3145.5818143620554</v>
      </c>
      <c r="I133" s="344">
        <f t="shared" si="8"/>
        <v>3203.82</v>
      </c>
      <c r="J133" s="6"/>
      <c r="L133" s="4" t="str">
        <f t="shared" si="9"/>
        <v>Gonzalez e Cia Ltda= 3203,82;</v>
      </c>
    </row>
    <row r="134" spans="2:12">
      <c r="B134" s="26" t="s">
        <v>680</v>
      </c>
      <c r="C134" s="25">
        <v>385982.49</v>
      </c>
      <c r="D134" s="33">
        <f t="shared" si="10"/>
        <v>140.35726909090909</v>
      </c>
      <c r="E134" s="10">
        <v>42284</v>
      </c>
      <c r="F134" s="10"/>
      <c r="G134" s="33">
        <f t="shared" ref="G134:G197" si="11">C134/2750</f>
        <v>140.35726909090909</v>
      </c>
      <c r="H134" s="33">
        <f t="shared" ref="H134:H197" si="12">G134*$H$4</f>
        <v>7581.3790080760755</v>
      </c>
      <c r="I134" s="344">
        <f t="shared" ref="I134:I197" si="13">ROUND(G134+H134,2)</f>
        <v>7721.74</v>
      </c>
      <c r="J134" s="6"/>
      <c r="L134" s="4" t="str">
        <f t="shared" ref="L134:L197" si="14">B134&amp;"= "&amp;I134&amp;";"</f>
        <v>Gráfica Mapel Ltda= 7721,74;</v>
      </c>
    </row>
    <row r="135" spans="2:12">
      <c r="B135" s="26" t="s">
        <v>379</v>
      </c>
      <c r="C135" s="25">
        <v>83436.539999999994</v>
      </c>
      <c r="D135" s="33">
        <f t="shared" si="10"/>
        <v>30.340559999999996</v>
      </c>
      <c r="E135" s="10">
        <v>42284</v>
      </c>
      <c r="F135" s="10"/>
      <c r="G135" s="33">
        <f t="shared" si="11"/>
        <v>30.340559999999996</v>
      </c>
      <c r="H135" s="33">
        <f t="shared" si="12"/>
        <v>1638.8412667696396</v>
      </c>
      <c r="I135" s="344">
        <f t="shared" si="13"/>
        <v>1669.18</v>
      </c>
      <c r="J135" s="6"/>
      <c r="L135" s="4" t="str">
        <f t="shared" si="14"/>
        <v>Guilherme Schramm= 1669,18;</v>
      </c>
    </row>
    <row r="136" spans="2:12">
      <c r="B136" s="27" t="s">
        <v>150</v>
      </c>
      <c r="C136" s="25">
        <v>9863058.6699999999</v>
      </c>
      <c r="D136" s="33">
        <f t="shared" si="10"/>
        <v>3586.5667890909094</v>
      </c>
      <c r="E136" s="10">
        <v>42284</v>
      </c>
      <c r="F136" s="10"/>
      <c r="G136" s="33">
        <f t="shared" si="11"/>
        <v>3586.566789090909</v>
      </c>
      <c r="H136" s="33">
        <f t="shared" si="12"/>
        <v>193727.92262198406</v>
      </c>
      <c r="I136" s="344">
        <f t="shared" si="13"/>
        <v>197314.49</v>
      </c>
      <c r="J136" s="6"/>
      <c r="L136" s="4" t="str">
        <f t="shared" si="14"/>
        <v>Gumz irmãos S/A Ind. Com. Agricultura= 197314,49;</v>
      </c>
    </row>
    <row r="137" spans="2:12">
      <c r="B137" s="26" t="s">
        <v>681</v>
      </c>
      <c r="C137" s="25">
        <v>28975.23</v>
      </c>
      <c r="D137" s="33">
        <f t="shared" si="10"/>
        <v>10.536447272727273</v>
      </c>
      <c r="E137" s="10">
        <v>42284</v>
      </c>
      <c r="F137" s="10"/>
      <c r="G137" s="33">
        <f t="shared" si="11"/>
        <v>10.536447272727273</v>
      </c>
      <c r="H137" s="33">
        <f t="shared" si="12"/>
        <v>569.12478199769157</v>
      </c>
      <c r="I137" s="344">
        <f t="shared" si="13"/>
        <v>579.66</v>
      </c>
      <c r="J137" s="6"/>
      <c r="L137" s="4" t="str">
        <f t="shared" si="14"/>
        <v>HDS Sistemas Ltda = 579,66;</v>
      </c>
    </row>
    <row r="138" spans="2:12">
      <c r="B138" s="26" t="s">
        <v>682</v>
      </c>
      <c r="C138" s="25">
        <v>1326489.28</v>
      </c>
      <c r="D138" s="33">
        <f t="shared" si="10"/>
        <v>482.35973818181816</v>
      </c>
      <c r="E138" s="10">
        <v>42284</v>
      </c>
      <c r="F138" s="10"/>
      <c r="G138" s="33">
        <f t="shared" si="11"/>
        <v>482.35973818181822</v>
      </c>
      <c r="H138" s="33">
        <f t="shared" si="12"/>
        <v>26054.596367389488</v>
      </c>
      <c r="I138" s="344">
        <f t="shared" si="13"/>
        <v>26536.959999999999</v>
      </c>
      <c r="J138" s="6"/>
      <c r="L138" s="4" t="str">
        <f t="shared" si="14"/>
        <v>Heublein do Brasil Com. e Ind. Ltda = 26536,96;</v>
      </c>
    </row>
    <row r="139" spans="2:12">
      <c r="B139" s="26" t="s">
        <v>683</v>
      </c>
      <c r="C139" s="25">
        <v>733230.2</v>
      </c>
      <c r="D139" s="33">
        <f t="shared" si="10"/>
        <v>266.62916363636361</v>
      </c>
      <c r="E139" s="10">
        <v>42284</v>
      </c>
      <c r="F139" s="10"/>
      <c r="G139" s="33">
        <f t="shared" si="11"/>
        <v>266.62916363636361</v>
      </c>
      <c r="H139" s="33">
        <f t="shared" si="12"/>
        <v>14401.938404945318</v>
      </c>
      <c r="I139" s="344">
        <f t="shared" si="13"/>
        <v>14668.57</v>
      </c>
      <c r="J139" s="6"/>
      <c r="L139" s="4" t="str">
        <f t="shared" si="14"/>
        <v>Hfur Com. e Repres. Ltda = 14668,57;</v>
      </c>
    </row>
    <row r="140" spans="2:12">
      <c r="B140" s="26" t="s">
        <v>404</v>
      </c>
      <c r="C140" s="25">
        <v>35397.32</v>
      </c>
      <c r="D140" s="33">
        <f t="shared" si="10"/>
        <v>12.871752727272728</v>
      </c>
      <c r="E140" s="10">
        <v>42284</v>
      </c>
      <c r="F140" s="10"/>
      <c r="G140" s="33">
        <f t="shared" si="11"/>
        <v>12.871752727272726</v>
      </c>
      <c r="H140" s="33">
        <f t="shared" si="12"/>
        <v>695.26599196287748</v>
      </c>
      <c r="I140" s="344">
        <f t="shared" si="13"/>
        <v>708.14</v>
      </c>
      <c r="J140" s="6"/>
      <c r="L140" s="4" t="str">
        <f t="shared" si="14"/>
        <v>Hortifrutigrangeiros Trans. Herchen= 708,14;</v>
      </c>
    </row>
    <row r="141" spans="2:12">
      <c r="B141" s="26" t="s">
        <v>684</v>
      </c>
      <c r="C141" s="25">
        <v>344365.35</v>
      </c>
      <c r="D141" s="33">
        <f t="shared" si="10"/>
        <v>125.22376363636363</v>
      </c>
      <c r="E141" s="10">
        <v>42284</v>
      </c>
      <c r="F141" s="10"/>
      <c r="G141" s="33">
        <f t="shared" si="11"/>
        <v>125.22376363636363</v>
      </c>
      <c r="H141" s="33">
        <f t="shared" si="12"/>
        <v>6763.9447468168064</v>
      </c>
      <c r="I141" s="344">
        <f t="shared" si="13"/>
        <v>6889.17</v>
      </c>
      <c r="J141" s="6"/>
      <c r="L141" s="4" t="str">
        <f t="shared" si="14"/>
        <v>Hortigranjeira Aguas Claras Ltda= 6889,17;</v>
      </c>
    </row>
    <row r="142" spans="2:12">
      <c r="B142" s="26" t="s">
        <v>685</v>
      </c>
      <c r="C142" s="25">
        <v>337285.89</v>
      </c>
      <c r="D142" s="33">
        <f t="shared" si="10"/>
        <v>122.64941454545455</v>
      </c>
      <c r="E142" s="10">
        <v>42284</v>
      </c>
      <c r="F142" s="10"/>
      <c r="G142" s="33">
        <f t="shared" si="11"/>
        <v>122.64941454545455</v>
      </c>
      <c r="H142" s="33">
        <f t="shared" si="12"/>
        <v>6624.8916269913088</v>
      </c>
      <c r="I142" s="344">
        <f t="shared" si="13"/>
        <v>6747.54</v>
      </c>
      <c r="J142" s="6"/>
      <c r="L142" s="4" t="str">
        <f t="shared" si="14"/>
        <v>Hortigranjeira Bedin Ltda= 6747,54;</v>
      </c>
    </row>
    <row r="143" spans="2:12">
      <c r="B143" s="26" t="s">
        <v>686</v>
      </c>
      <c r="C143" s="25">
        <v>101640.87</v>
      </c>
      <c r="D143" s="33">
        <f t="shared" si="10"/>
        <v>36.960316363636359</v>
      </c>
      <c r="E143" s="10">
        <v>42284</v>
      </c>
      <c r="F143" s="10"/>
      <c r="G143" s="33">
        <f t="shared" si="11"/>
        <v>36.960316363636359</v>
      </c>
      <c r="H143" s="33">
        <f t="shared" si="12"/>
        <v>1996.4065162142181</v>
      </c>
      <c r="I143" s="344">
        <f t="shared" si="13"/>
        <v>2033.37</v>
      </c>
      <c r="J143" s="6"/>
      <c r="L143" s="4" t="str">
        <f t="shared" si="14"/>
        <v>Hortigranjeira Mantenense Ltda = 2033,37;</v>
      </c>
    </row>
    <row r="144" spans="2:12">
      <c r="B144" s="26" t="s">
        <v>687</v>
      </c>
      <c r="C144" s="25">
        <v>100882.36</v>
      </c>
      <c r="D144" s="33">
        <f t="shared" si="10"/>
        <v>36.684494545454548</v>
      </c>
      <c r="E144" s="10">
        <v>42284</v>
      </c>
      <c r="F144" s="10"/>
      <c r="G144" s="33">
        <f t="shared" si="11"/>
        <v>36.684494545454548</v>
      </c>
      <c r="H144" s="33">
        <f t="shared" si="12"/>
        <v>1981.5080378106625</v>
      </c>
      <c r="I144" s="344">
        <f t="shared" si="13"/>
        <v>2018.19</v>
      </c>
      <c r="J144" s="6"/>
      <c r="L144" s="4" t="str">
        <f t="shared" si="14"/>
        <v>Hp. Com. Import. Export. Alimen. Ltda = 2018,19;</v>
      </c>
    </row>
    <row r="145" spans="2:12">
      <c r="B145" s="26" t="s">
        <v>268</v>
      </c>
      <c r="C145" s="25">
        <v>578189.93000000005</v>
      </c>
      <c r="D145" s="33">
        <f t="shared" si="10"/>
        <v>210.25088363636362</v>
      </c>
      <c r="E145" s="10">
        <v>42284</v>
      </c>
      <c r="F145" s="10"/>
      <c r="G145" s="33">
        <f t="shared" si="11"/>
        <v>210.25088363636365</v>
      </c>
      <c r="H145" s="33">
        <f t="shared" si="12"/>
        <v>11356.673195157055</v>
      </c>
      <c r="I145" s="344">
        <f t="shared" si="13"/>
        <v>11566.92</v>
      </c>
      <c r="J145" s="6"/>
      <c r="L145" s="4" t="str">
        <f t="shared" si="14"/>
        <v>Iema Ind. Conservas= 11566,92;</v>
      </c>
    </row>
    <row r="146" spans="2:12">
      <c r="B146" s="26" t="s">
        <v>789</v>
      </c>
      <c r="C146" s="25">
        <v>2429520.34</v>
      </c>
      <c r="D146" s="33">
        <f t="shared" si="10"/>
        <v>883.4619418181818</v>
      </c>
      <c r="E146" s="10">
        <v>42284</v>
      </c>
      <c r="F146" s="10"/>
      <c r="G146" s="33">
        <f t="shared" si="11"/>
        <v>883.4619418181818</v>
      </c>
      <c r="H146" s="33">
        <f t="shared" si="12"/>
        <v>47720.077937654241</v>
      </c>
      <c r="I146" s="344">
        <f t="shared" si="13"/>
        <v>48603.54</v>
      </c>
      <c r="J146" s="6"/>
      <c r="L146" s="4" t="str">
        <f t="shared" si="14"/>
        <v>Impulso Equipamentos e Serviços Ltda= 48603,54;</v>
      </c>
    </row>
    <row r="147" spans="2:12">
      <c r="B147" s="26" t="s">
        <v>362</v>
      </c>
      <c r="C147" s="25">
        <v>113574.82</v>
      </c>
      <c r="D147" s="33">
        <f t="shared" si="10"/>
        <v>41.299934545454548</v>
      </c>
      <c r="E147" s="10">
        <v>42284</v>
      </c>
      <c r="F147" s="10"/>
      <c r="G147" s="33">
        <f t="shared" si="11"/>
        <v>41.299934545454548</v>
      </c>
      <c r="H147" s="33">
        <f t="shared" si="12"/>
        <v>2230.8104085084765</v>
      </c>
      <c r="I147" s="344">
        <f t="shared" si="13"/>
        <v>2272.11</v>
      </c>
      <c r="J147" s="6"/>
      <c r="L147" s="4" t="str">
        <f t="shared" si="14"/>
        <v>Incasa Ind. Com. Catarinense= 2272,11;</v>
      </c>
    </row>
    <row r="148" spans="2:12">
      <c r="B148" s="26" t="s">
        <v>688</v>
      </c>
      <c r="C148" s="25">
        <v>3004372.81</v>
      </c>
      <c r="D148" s="33">
        <f t="shared" si="10"/>
        <v>1092.4992036363635</v>
      </c>
      <c r="E148" s="10">
        <v>42284</v>
      </c>
      <c r="F148" s="10"/>
      <c r="G148" s="33">
        <f t="shared" si="11"/>
        <v>1092.4992036363637</v>
      </c>
      <c r="H148" s="33">
        <f t="shared" si="12"/>
        <v>59011.197513567349</v>
      </c>
      <c r="I148" s="344">
        <f t="shared" si="13"/>
        <v>60103.7</v>
      </c>
      <c r="J148" s="6"/>
      <c r="L148" s="4" t="str">
        <f t="shared" si="14"/>
        <v>Incopan Ind. Com. e Panificação Ltda = 60103,7;</v>
      </c>
    </row>
    <row r="149" spans="2:12">
      <c r="B149" s="26" t="s">
        <v>689</v>
      </c>
      <c r="C149" s="25">
        <v>2078682.33</v>
      </c>
      <c r="D149" s="33">
        <f t="shared" si="10"/>
        <v>755.88448363636371</v>
      </c>
      <c r="E149" s="10">
        <v>42284</v>
      </c>
      <c r="F149" s="10"/>
      <c r="G149" s="33">
        <f t="shared" si="11"/>
        <v>755.88448363636371</v>
      </c>
      <c r="H149" s="33">
        <f t="shared" si="12"/>
        <v>40828.998696600633</v>
      </c>
      <c r="I149" s="344">
        <f t="shared" si="13"/>
        <v>41584.879999999997</v>
      </c>
      <c r="J149" s="6"/>
      <c r="L149" s="4" t="str">
        <f t="shared" si="14"/>
        <v>Incregel Ind. Com. Repr. Gerais Ltda = 41584,88;</v>
      </c>
    </row>
    <row r="150" spans="2:12">
      <c r="B150" s="26" t="s">
        <v>259</v>
      </c>
      <c r="C150" s="25">
        <v>664255.99</v>
      </c>
      <c r="D150" s="33">
        <f t="shared" si="10"/>
        <v>241.54763272727271</v>
      </c>
      <c r="E150" s="10">
        <v>42284</v>
      </c>
      <c r="F150" s="10"/>
      <c r="G150" s="33">
        <f t="shared" si="11"/>
        <v>241.54763272727271</v>
      </c>
      <c r="H150" s="33">
        <f t="shared" si="12"/>
        <v>13047.162887038714</v>
      </c>
      <c r="I150" s="344">
        <f t="shared" si="13"/>
        <v>13288.71</v>
      </c>
      <c r="J150" s="6"/>
      <c r="L150" s="4" t="str">
        <f t="shared" si="14"/>
        <v>Ind. Aliment. Carlos Britto S/A= 13288,71;</v>
      </c>
    </row>
    <row r="151" spans="2:12">
      <c r="B151" s="26" t="s">
        <v>174</v>
      </c>
      <c r="C151" s="25">
        <v>3371695.86</v>
      </c>
      <c r="D151" s="33">
        <f t="shared" si="10"/>
        <v>1226.0712218181818</v>
      </c>
      <c r="E151" s="10">
        <v>42284</v>
      </c>
      <c r="F151" s="10"/>
      <c r="G151" s="33">
        <f t="shared" si="11"/>
        <v>1226.0712218181818</v>
      </c>
      <c r="H151" s="33">
        <f t="shared" si="12"/>
        <v>66226.072106589636</v>
      </c>
      <c r="I151" s="344">
        <f t="shared" si="13"/>
        <v>67452.14</v>
      </c>
      <c r="J151" s="6"/>
      <c r="L151" s="4" t="str">
        <f t="shared" si="14"/>
        <v>Ind. Chocolates Lacta S/A= 67452,14;</v>
      </c>
    </row>
    <row r="152" spans="2:12">
      <c r="B152" s="26" t="s">
        <v>690</v>
      </c>
      <c r="C152" s="25">
        <v>1202446.96</v>
      </c>
      <c r="D152" s="33">
        <f t="shared" si="10"/>
        <v>437.25344000000001</v>
      </c>
      <c r="E152" s="10">
        <v>42284</v>
      </c>
      <c r="F152" s="10"/>
      <c r="G152" s="33">
        <f t="shared" si="11"/>
        <v>437.25344000000001</v>
      </c>
      <c r="H152" s="33">
        <f t="shared" si="12"/>
        <v>23618.18573912224</v>
      </c>
      <c r="I152" s="344">
        <f t="shared" si="13"/>
        <v>24055.439999999999</v>
      </c>
      <c r="J152" s="6"/>
      <c r="L152" s="4" t="str">
        <f t="shared" si="14"/>
        <v>Ind. Com. Agricola Mathies Ltda = 24055,44;</v>
      </c>
    </row>
    <row r="153" spans="2:12">
      <c r="B153" s="26" t="s">
        <v>691</v>
      </c>
      <c r="C153" s="25">
        <v>252686.29</v>
      </c>
      <c r="D153" s="33">
        <f t="shared" si="10"/>
        <v>91.885923636363643</v>
      </c>
      <c r="E153" s="10">
        <v>42284</v>
      </c>
      <c r="F153" s="10"/>
      <c r="G153" s="33">
        <f t="shared" si="11"/>
        <v>91.885923636363643</v>
      </c>
      <c r="H153" s="33">
        <f t="shared" si="12"/>
        <v>4963.2058040628317</v>
      </c>
      <c r="I153" s="344">
        <f t="shared" si="13"/>
        <v>5055.09</v>
      </c>
      <c r="J153" s="6"/>
      <c r="L153" s="4" t="str">
        <f t="shared" si="14"/>
        <v>Ind. Com. Bebidas dos Tropicos Ltda = 5055,09;</v>
      </c>
    </row>
    <row r="154" spans="2:12">
      <c r="B154" s="26" t="s">
        <v>692</v>
      </c>
      <c r="C154" s="25">
        <v>101135.2</v>
      </c>
      <c r="D154" s="33">
        <f t="shared" si="10"/>
        <v>36.776436363636364</v>
      </c>
      <c r="E154" s="10">
        <v>42284</v>
      </c>
      <c r="F154" s="10"/>
      <c r="G154" s="33">
        <f t="shared" si="11"/>
        <v>36.776436363636364</v>
      </c>
      <c r="H154" s="33">
        <f t="shared" si="12"/>
        <v>1986.4742627510786</v>
      </c>
      <c r="I154" s="344">
        <f t="shared" si="13"/>
        <v>2023.25</v>
      </c>
      <c r="J154" s="6"/>
      <c r="L154" s="4" t="str">
        <f t="shared" si="14"/>
        <v>Ind. Com. de Bebidas Kreusch Ltda = 2023,25;</v>
      </c>
    </row>
    <row r="155" spans="2:12">
      <c r="B155" s="26" t="s">
        <v>693</v>
      </c>
      <c r="C155" s="25">
        <v>493539.77</v>
      </c>
      <c r="D155" s="33">
        <f t="shared" si="10"/>
        <v>179.46900727272728</v>
      </c>
      <c r="E155" s="10">
        <v>42284</v>
      </c>
      <c r="F155" s="10"/>
      <c r="G155" s="33">
        <f t="shared" si="11"/>
        <v>179.46900727272728</v>
      </c>
      <c r="H155" s="33">
        <f t="shared" si="12"/>
        <v>9693.9942843746485</v>
      </c>
      <c r="I155" s="344">
        <f t="shared" si="13"/>
        <v>9873.4599999999991</v>
      </c>
      <c r="J155" s="6"/>
      <c r="L155" s="4" t="str">
        <f t="shared" si="14"/>
        <v>Ind. Com. de Doces Carijos Ltda = 9873,46;</v>
      </c>
    </row>
    <row r="156" spans="2:12">
      <c r="B156" s="26" t="s">
        <v>694</v>
      </c>
      <c r="C156" s="25">
        <v>69176.47</v>
      </c>
      <c r="D156" s="33">
        <f t="shared" si="10"/>
        <v>25.155079999999998</v>
      </c>
      <c r="E156" s="10">
        <v>42284</v>
      </c>
      <c r="F156" s="10"/>
      <c r="G156" s="33">
        <f t="shared" si="11"/>
        <v>25.155080000000002</v>
      </c>
      <c r="H156" s="33">
        <f t="shared" si="12"/>
        <v>1358.7482621577069</v>
      </c>
      <c r="I156" s="344">
        <f t="shared" si="13"/>
        <v>1383.9</v>
      </c>
      <c r="J156" s="6"/>
      <c r="L156" s="4" t="str">
        <f t="shared" si="14"/>
        <v>Ind. Com. De Latici. Passold Ltda = 1383,9;</v>
      </c>
    </row>
    <row r="157" spans="2:12">
      <c r="B157" s="26" t="s">
        <v>695</v>
      </c>
      <c r="C157" s="25">
        <v>9282036.9499999993</v>
      </c>
      <c r="D157" s="33">
        <f t="shared" si="10"/>
        <v>3375.2861636363637</v>
      </c>
      <c r="E157" s="10">
        <v>42284</v>
      </c>
      <c r="F157" s="10"/>
      <c r="G157" s="33">
        <f t="shared" si="11"/>
        <v>3375.2861636363632</v>
      </c>
      <c r="H157" s="33">
        <f t="shared" si="12"/>
        <v>182315.62806104618</v>
      </c>
      <c r="I157" s="344">
        <f t="shared" si="13"/>
        <v>185690.91</v>
      </c>
      <c r="J157" s="6"/>
      <c r="L157" s="4" t="str">
        <f t="shared" si="14"/>
        <v>Ind. Com. de Laticínios Chapeco Ltda= 185690,91;</v>
      </c>
    </row>
    <row r="158" spans="2:12">
      <c r="B158" s="26" t="s">
        <v>696</v>
      </c>
      <c r="C158" s="25">
        <v>288184.75</v>
      </c>
      <c r="D158" s="33">
        <f t="shared" si="10"/>
        <v>104.79445454545454</v>
      </c>
      <c r="E158" s="10">
        <v>42284</v>
      </c>
      <c r="F158" s="10"/>
      <c r="G158" s="33">
        <f t="shared" si="11"/>
        <v>104.79445454545454</v>
      </c>
      <c r="H158" s="33">
        <f t="shared" si="12"/>
        <v>5660.4583645689518</v>
      </c>
      <c r="I158" s="344">
        <f t="shared" si="13"/>
        <v>5765.25</v>
      </c>
      <c r="J158" s="6"/>
      <c r="L158" s="4" t="str">
        <f t="shared" si="14"/>
        <v>Ind. Com. Polvilho Sevegnani Ltda= 5765,25;</v>
      </c>
    </row>
    <row r="159" spans="2:12">
      <c r="B159" s="26" t="s">
        <v>697</v>
      </c>
      <c r="C159" s="25">
        <v>1704532.66</v>
      </c>
      <c r="D159" s="33">
        <f t="shared" si="10"/>
        <v>619.83005818181812</v>
      </c>
      <c r="E159" s="10">
        <v>42284</v>
      </c>
      <c r="F159" s="10"/>
      <c r="G159" s="33">
        <f t="shared" si="11"/>
        <v>619.83005818181812</v>
      </c>
      <c r="H159" s="33">
        <f t="shared" si="12"/>
        <v>33480.037208693262</v>
      </c>
      <c r="I159" s="344">
        <f t="shared" si="13"/>
        <v>34099.870000000003</v>
      </c>
      <c r="J159" s="6"/>
      <c r="L159" s="4" t="str">
        <f t="shared" si="14"/>
        <v>Ind. de Alimentos Massita Ltda = 34099,87;</v>
      </c>
    </row>
    <row r="160" spans="2:12">
      <c r="B160" s="26" t="s">
        <v>697</v>
      </c>
      <c r="C160" s="25">
        <v>39998.97</v>
      </c>
      <c r="D160" s="33">
        <f t="shared" si="10"/>
        <v>14.54508</v>
      </c>
      <c r="E160" s="10">
        <v>42284</v>
      </c>
      <c r="F160" s="10"/>
      <c r="G160" s="33">
        <f t="shared" si="11"/>
        <v>14.54508</v>
      </c>
      <c r="H160" s="33">
        <f t="shared" si="12"/>
        <v>785.6505394912208</v>
      </c>
      <c r="I160" s="344">
        <f t="shared" si="13"/>
        <v>800.2</v>
      </c>
      <c r="J160" s="6"/>
      <c r="L160" s="4" t="str">
        <f t="shared" si="14"/>
        <v>Ind. de Alimentos Massita Ltda = 800,2;</v>
      </c>
    </row>
    <row r="161" spans="2:12">
      <c r="B161" s="26" t="s">
        <v>698</v>
      </c>
      <c r="C161" s="25">
        <v>878763.75</v>
      </c>
      <c r="D161" s="33">
        <f t="shared" si="10"/>
        <v>319.55045454545456</v>
      </c>
      <c r="E161" s="10">
        <v>42284</v>
      </c>
      <c r="F161" s="10"/>
      <c r="G161" s="33">
        <f t="shared" si="11"/>
        <v>319.55045454545456</v>
      </c>
      <c r="H161" s="33">
        <f t="shared" si="12"/>
        <v>17260.474814047167</v>
      </c>
      <c r="I161" s="344">
        <f t="shared" si="13"/>
        <v>17580.03</v>
      </c>
      <c r="J161" s="6"/>
      <c r="L161" s="4" t="str">
        <f t="shared" si="14"/>
        <v>Ind. de Bebidas Cardoso Ltda = 17580,03;</v>
      </c>
    </row>
    <row r="162" spans="2:12">
      <c r="B162" s="26" t="s">
        <v>699</v>
      </c>
      <c r="C162" s="25">
        <v>1108795.76</v>
      </c>
      <c r="D162" s="33">
        <f t="shared" si="10"/>
        <v>403.19845818181818</v>
      </c>
      <c r="E162" s="10">
        <v>42284</v>
      </c>
      <c r="F162" s="10"/>
      <c r="G162" s="33">
        <f t="shared" si="11"/>
        <v>403.19845818181818</v>
      </c>
      <c r="H162" s="33">
        <f t="shared" si="12"/>
        <v>21778.710477534249</v>
      </c>
      <c r="I162" s="344">
        <f t="shared" si="13"/>
        <v>22181.91</v>
      </c>
      <c r="J162" s="6"/>
      <c r="L162" s="4" t="str">
        <f t="shared" si="14"/>
        <v>Ind. de Embalagens Lages Ltda = 22181,91;</v>
      </c>
    </row>
    <row r="163" spans="2:12">
      <c r="B163" s="26" t="s">
        <v>700</v>
      </c>
      <c r="C163" s="25">
        <v>93853.46</v>
      </c>
      <c r="D163" s="33">
        <f t="shared" si="10"/>
        <v>34.128530909090912</v>
      </c>
      <c r="E163" s="10">
        <v>42284</v>
      </c>
      <c r="F163" s="10"/>
      <c r="G163" s="33">
        <f t="shared" si="11"/>
        <v>34.128530909090912</v>
      </c>
      <c r="H163" s="33">
        <f t="shared" si="12"/>
        <v>1843.4480058390932</v>
      </c>
      <c r="I163" s="344">
        <f t="shared" si="13"/>
        <v>1877.58</v>
      </c>
      <c r="J163" s="6"/>
      <c r="L163" s="4" t="str">
        <f t="shared" si="14"/>
        <v>Ind. Gessy Lever Ltda = 1877,58;</v>
      </c>
    </row>
    <row r="164" spans="2:12">
      <c r="B164" s="26" t="s">
        <v>790</v>
      </c>
      <c r="C164" s="25">
        <v>5080880.74</v>
      </c>
      <c r="D164" s="33">
        <f t="shared" si="10"/>
        <v>1847.5929963636365</v>
      </c>
      <c r="E164" s="10">
        <v>42284</v>
      </c>
      <c r="F164" s="10"/>
      <c r="G164" s="33">
        <f t="shared" si="11"/>
        <v>1847.5929963636365</v>
      </c>
      <c r="H164" s="33">
        <f t="shared" si="12"/>
        <v>99797.487147082866</v>
      </c>
      <c r="I164" s="344">
        <f t="shared" si="13"/>
        <v>101645.08</v>
      </c>
      <c r="J164" s="6"/>
      <c r="L164" s="4" t="str">
        <f t="shared" si="14"/>
        <v>Ind. Produtos Alimenticios Cory Ltda= 101645,08;</v>
      </c>
    </row>
    <row r="165" spans="2:12">
      <c r="B165" s="26" t="s">
        <v>407</v>
      </c>
      <c r="C165" s="25">
        <v>33627.449999999997</v>
      </c>
      <c r="D165" s="33">
        <f t="shared" si="10"/>
        <v>12.228163636363634</v>
      </c>
      <c r="E165" s="10">
        <v>42284</v>
      </c>
      <c r="F165" s="10"/>
      <c r="G165" s="33">
        <f t="shared" si="11"/>
        <v>12.228163636363636</v>
      </c>
      <c r="H165" s="33">
        <f t="shared" si="12"/>
        <v>660.50261379765652</v>
      </c>
      <c r="I165" s="344">
        <f t="shared" si="13"/>
        <v>672.73</v>
      </c>
      <c r="J165" s="6"/>
      <c r="L165" s="4" t="str">
        <f t="shared" si="14"/>
        <v>Industria de Doces Mario Nass ME.= 672,73;</v>
      </c>
    </row>
    <row r="166" spans="2:12">
      <c r="B166" s="26" t="s">
        <v>387</v>
      </c>
      <c r="C166" s="25">
        <v>73120.740000000005</v>
      </c>
      <c r="D166" s="33">
        <f t="shared" si="10"/>
        <v>26.589360000000003</v>
      </c>
      <c r="E166" s="10">
        <v>42284</v>
      </c>
      <c r="F166" s="10"/>
      <c r="G166" s="33">
        <f t="shared" si="11"/>
        <v>26.589360000000003</v>
      </c>
      <c r="H166" s="33">
        <f t="shared" si="12"/>
        <v>1436.220703408045</v>
      </c>
      <c r="I166" s="344">
        <f t="shared" si="13"/>
        <v>1462.81</v>
      </c>
      <c r="J166" s="6"/>
      <c r="L166" s="4" t="str">
        <f t="shared" si="14"/>
        <v>Ingo Bittencourt= 1462,81;</v>
      </c>
    </row>
    <row r="167" spans="2:12">
      <c r="B167" s="26" t="s">
        <v>701</v>
      </c>
      <c r="C167" s="25">
        <v>48393.19</v>
      </c>
      <c r="D167" s="33">
        <f t="shared" si="10"/>
        <v>17.597523636363636</v>
      </c>
      <c r="E167" s="10">
        <v>42284</v>
      </c>
      <c r="F167" s="10"/>
      <c r="G167" s="33">
        <f t="shared" si="11"/>
        <v>17.597523636363636</v>
      </c>
      <c r="H167" s="33">
        <f t="shared" si="12"/>
        <v>950.52787187272941</v>
      </c>
      <c r="I167" s="344">
        <f t="shared" si="13"/>
        <v>968.13</v>
      </c>
      <c r="J167" s="6"/>
      <c r="L167" s="4" t="str">
        <f t="shared" si="14"/>
        <v>IOB Inf. Objet. Publ. Juridicas Ltda = 968,13;</v>
      </c>
    </row>
    <row r="168" spans="2:12">
      <c r="B168" s="26" t="s">
        <v>702</v>
      </c>
      <c r="C168" s="25">
        <v>110237.36</v>
      </c>
      <c r="D168" s="33">
        <f t="shared" si="10"/>
        <v>40.086312727272727</v>
      </c>
      <c r="E168" s="10">
        <v>42284</v>
      </c>
      <c r="F168" s="10"/>
      <c r="G168" s="33">
        <f t="shared" si="11"/>
        <v>40.086312727272727</v>
      </c>
      <c r="H168" s="33">
        <f t="shared" si="12"/>
        <v>2165.2567892645216</v>
      </c>
      <c r="I168" s="344">
        <f t="shared" si="13"/>
        <v>2205.34</v>
      </c>
      <c r="J168" s="6"/>
      <c r="L168" s="4" t="str">
        <f t="shared" si="14"/>
        <v>Irmaos Braziliano Ltda = 2205,34;</v>
      </c>
    </row>
    <row r="169" spans="2:12">
      <c r="B169" s="26" t="s">
        <v>703</v>
      </c>
      <c r="C169" s="25">
        <v>50567.6</v>
      </c>
      <c r="D169" s="33">
        <f t="shared" si="10"/>
        <v>18.388218181818182</v>
      </c>
      <c r="E169" s="10">
        <v>42284</v>
      </c>
      <c r="F169" s="10"/>
      <c r="G169" s="33">
        <f t="shared" si="11"/>
        <v>18.388218181818182</v>
      </c>
      <c r="H169" s="33">
        <f t="shared" si="12"/>
        <v>993.23713137553932</v>
      </c>
      <c r="I169" s="344">
        <f t="shared" si="13"/>
        <v>1011.63</v>
      </c>
      <c r="J169" s="6"/>
      <c r="L169" s="4" t="str">
        <f t="shared" si="14"/>
        <v>Irmãos Carboni Ltda = 1011,63;</v>
      </c>
    </row>
    <row r="170" spans="2:12">
      <c r="B170" s="26" t="s">
        <v>704</v>
      </c>
      <c r="C170" s="25">
        <v>119794.64</v>
      </c>
      <c r="D170" s="33">
        <f t="shared" si="10"/>
        <v>43.561687272727276</v>
      </c>
      <c r="E170" s="10">
        <v>42284</v>
      </c>
      <c r="F170" s="10"/>
      <c r="G170" s="33">
        <f t="shared" si="11"/>
        <v>43.561687272727269</v>
      </c>
      <c r="H170" s="33">
        <f t="shared" si="12"/>
        <v>2352.9786778048674</v>
      </c>
      <c r="I170" s="344">
        <f t="shared" si="13"/>
        <v>2396.54</v>
      </c>
      <c r="J170" s="6"/>
      <c r="L170" s="4" t="str">
        <f t="shared" si="14"/>
        <v>Irmaos Molon Ltda = 2396,54;</v>
      </c>
    </row>
    <row r="171" spans="2:12">
      <c r="B171" s="26" t="s">
        <v>239</v>
      </c>
      <c r="C171" s="25">
        <v>962554.26</v>
      </c>
      <c r="D171" s="33">
        <f t="shared" si="10"/>
        <v>350.01973090909092</v>
      </c>
      <c r="E171" s="10">
        <v>42284</v>
      </c>
      <c r="F171" s="10"/>
      <c r="G171" s="33">
        <f t="shared" si="11"/>
        <v>350.01973090909092</v>
      </c>
      <c r="H171" s="33">
        <f t="shared" si="12"/>
        <v>18906.268677882774</v>
      </c>
      <c r="I171" s="344">
        <f t="shared" si="13"/>
        <v>19256.29</v>
      </c>
      <c r="J171" s="6"/>
      <c r="L171" s="4" t="str">
        <f t="shared" si="14"/>
        <v>Isabela S/A Prod. Alimentícios= 19256,29;</v>
      </c>
    </row>
    <row r="172" spans="2:12">
      <c r="B172" s="26" t="s">
        <v>705</v>
      </c>
      <c r="C172" s="25">
        <v>695305.5</v>
      </c>
      <c r="D172" s="33">
        <f t="shared" si="10"/>
        <v>252.83836363636365</v>
      </c>
      <c r="E172" s="10">
        <v>42284</v>
      </c>
      <c r="F172" s="10"/>
      <c r="G172" s="33">
        <f t="shared" si="11"/>
        <v>252.83836363636362</v>
      </c>
      <c r="H172" s="33">
        <f t="shared" si="12"/>
        <v>13657.030198182927</v>
      </c>
      <c r="I172" s="344">
        <f t="shared" si="13"/>
        <v>13909.87</v>
      </c>
      <c r="J172" s="6"/>
      <c r="L172" s="4" t="str">
        <f t="shared" si="14"/>
        <v>Jasicafe Ind. Com. Café Ltda = 13909,87;</v>
      </c>
    </row>
    <row r="173" spans="2:12">
      <c r="B173" s="26" t="s">
        <v>706</v>
      </c>
      <c r="C173" s="25">
        <v>417334.4</v>
      </c>
      <c r="D173" s="33">
        <f t="shared" si="10"/>
        <v>151.75796363636366</v>
      </c>
      <c r="E173" s="10">
        <v>42284</v>
      </c>
      <c r="F173" s="10"/>
      <c r="G173" s="33">
        <f t="shared" si="11"/>
        <v>151.75796363636366</v>
      </c>
      <c r="H173" s="33">
        <f t="shared" si="12"/>
        <v>8197.1859902453725</v>
      </c>
      <c r="I173" s="344">
        <f t="shared" si="13"/>
        <v>8348.94</v>
      </c>
      <c r="J173" s="6"/>
      <c r="L173" s="4" t="str">
        <f t="shared" si="14"/>
        <v>João Haupt e Cia Ltda = 8348,94;</v>
      </c>
    </row>
    <row r="174" spans="2:12">
      <c r="B174" s="26" t="s">
        <v>707</v>
      </c>
      <c r="C174" s="25">
        <v>679931.94</v>
      </c>
      <c r="D174" s="33">
        <f t="shared" si="10"/>
        <v>247.24797818181816</v>
      </c>
      <c r="E174" s="10">
        <v>42284</v>
      </c>
      <c r="F174" s="10"/>
      <c r="G174" s="33">
        <f t="shared" si="11"/>
        <v>247.24797818181816</v>
      </c>
      <c r="H174" s="33">
        <f t="shared" si="12"/>
        <v>13355.066279914514</v>
      </c>
      <c r="I174" s="344">
        <f t="shared" si="13"/>
        <v>13602.31</v>
      </c>
      <c r="J174" s="6"/>
      <c r="L174" s="4" t="str">
        <f t="shared" si="14"/>
        <v>Johmar Com. Repr. Ltda = 13602,31;</v>
      </c>
    </row>
    <row r="175" spans="2:12">
      <c r="B175" s="26" t="s">
        <v>173</v>
      </c>
      <c r="C175" s="25">
        <v>3459632.92</v>
      </c>
      <c r="D175" s="33">
        <f t="shared" si="10"/>
        <v>1258.0483345454545</v>
      </c>
      <c r="E175" s="10">
        <v>42284</v>
      </c>
      <c r="F175" s="10"/>
      <c r="G175" s="33">
        <f t="shared" si="11"/>
        <v>1258.0483345454545</v>
      </c>
      <c r="H175" s="33">
        <f t="shared" si="12"/>
        <v>67953.311548762067</v>
      </c>
      <c r="I175" s="344">
        <f t="shared" si="13"/>
        <v>69211.360000000001</v>
      </c>
      <c r="J175" s="6"/>
      <c r="L175" s="4" t="str">
        <f t="shared" si="14"/>
        <v>Johnson e Johnson S/A= 69211,36;</v>
      </c>
    </row>
    <row r="176" spans="2:12">
      <c r="B176" s="26" t="s">
        <v>173</v>
      </c>
      <c r="C176" s="25">
        <v>1122347.8799999999</v>
      </c>
      <c r="D176" s="33">
        <f t="shared" si="10"/>
        <v>408.12650181818174</v>
      </c>
      <c r="E176" s="10">
        <v>42284</v>
      </c>
      <c r="F176" s="10"/>
      <c r="G176" s="33">
        <f t="shared" si="11"/>
        <v>408.12650181818179</v>
      </c>
      <c r="H176" s="33">
        <f t="shared" si="12"/>
        <v>22044.898091596555</v>
      </c>
      <c r="I176" s="344">
        <f t="shared" si="13"/>
        <v>22453.02</v>
      </c>
      <c r="J176" s="6"/>
      <c r="L176" s="4" t="str">
        <f t="shared" si="14"/>
        <v>Johnson e Johnson S/A= 22453,02;</v>
      </c>
    </row>
    <row r="177" spans="2:12">
      <c r="B177" s="26" t="s">
        <v>347</v>
      </c>
      <c r="C177" s="25">
        <v>138959.76</v>
      </c>
      <c r="D177" s="33">
        <f t="shared" si="10"/>
        <v>50.530821818181828</v>
      </c>
      <c r="E177" s="10">
        <v>42284</v>
      </c>
      <c r="F177" s="10"/>
      <c r="G177" s="33">
        <f t="shared" si="11"/>
        <v>50.530821818181821</v>
      </c>
      <c r="H177" s="33">
        <f t="shared" si="12"/>
        <v>2729.4155427394894</v>
      </c>
      <c r="I177" s="344">
        <f t="shared" si="13"/>
        <v>2779.95</v>
      </c>
      <c r="J177" s="6"/>
      <c r="L177" s="4" t="str">
        <f t="shared" si="14"/>
        <v>Jorgina Madrid Chaves= 2779,95;</v>
      </c>
    </row>
    <row r="178" spans="2:12">
      <c r="B178" s="26" t="s">
        <v>285</v>
      </c>
      <c r="C178" s="25">
        <v>414350.91</v>
      </c>
      <c r="D178" s="33">
        <f t="shared" si="10"/>
        <v>150.67305818181819</v>
      </c>
      <c r="E178" s="10">
        <v>42284</v>
      </c>
      <c r="F178" s="10"/>
      <c r="G178" s="33">
        <f t="shared" si="11"/>
        <v>150.67305818181816</v>
      </c>
      <c r="H178" s="33">
        <f t="shared" si="12"/>
        <v>8138.5849680673828</v>
      </c>
      <c r="I178" s="344">
        <f t="shared" si="13"/>
        <v>8289.26</v>
      </c>
      <c r="J178" s="6"/>
      <c r="L178" s="4" t="str">
        <f t="shared" si="14"/>
        <v>Jose Kienen= 8289,26;</v>
      </c>
    </row>
    <row r="179" spans="2:12">
      <c r="B179" s="26" t="s">
        <v>327</v>
      </c>
      <c r="C179" s="25">
        <v>219513.95</v>
      </c>
      <c r="D179" s="33">
        <f t="shared" si="10"/>
        <v>79.82325454545456</v>
      </c>
      <c r="E179" s="10">
        <v>42284</v>
      </c>
      <c r="F179" s="10"/>
      <c r="G179" s="33">
        <f t="shared" si="11"/>
        <v>79.823254545454546</v>
      </c>
      <c r="H179" s="33">
        <f t="shared" si="12"/>
        <v>4311.6423558743854</v>
      </c>
      <c r="I179" s="344">
        <f t="shared" si="13"/>
        <v>4391.47</v>
      </c>
      <c r="J179" s="6"/>
      <c r="L179" s="4" t="str">
        <f t="shared" si="14"/>
        <v>Jose Lindolfo dos Passos= 4391,47;</v>
      </c>
    </row>
    <row r="180" spans="2:12">
      <c r="B180" s="26" t="s">
        <v>708</v>
      </c>
      <c r="C180" s="25">
        <v>1489620.36</v>
      </c>
      <c r="D180" s="33">
        <f t="shared" si="10"/>
        <v>541.68013090909096</v>
      </c>
      <c r="E180" s="10">
        <v>42284</v>
      </c>
      <c r="F180" s="10"/>
      <c r="G180" s="33">
        <f t="shared" si="11"/>
        <v>541.68013090909096</v>
      </c>
      <c r="H180" s="33">
        <f t="shared" si="12"/>
        <v>29258.779400347223</v>
      </c>
      <c r="I180" s="344">
        <f t="shared" si="13"/>
        <v>29800.46</v>
      </c>
      <c r="J180" s="6"/>
      <c r="L180" s="4" t="str">
        <f t="shared" si="14"/>
        <v>Kaminski Distr. Universal Ltda = 29800,46;</v>
      </c>
    </row>
    <row r="181" spans="2:12">
      <c r="B181" s="26" t="s">
        <v>709</v>
      </c>
      <c r="C181" s="25">
        <v>1453211.68</v>
      </c>
      <c r="D181" s="33">
        <f t="shared" si="10"/>
        <v>528.44061090909088</v>
      </c>
      <c r="E181" s="10">
        <v>42284</v>
      </c>
      <c r="F181" s="10"/>
      <c r="G181" s="33">
        <f t="shared" si="11"/>
        <v>528.44061090909088</v>
      </c>
      <c r="H181" s="33">
        <f t="shared" si="12"/>
        <v>28543.648508622675</v>
      </c>
      <c r="I181" s="344">
        <f t="shared" si="13"/>
        <v>29072.09</v>
      </c>
      <c r="J181" s="6"/>
      <c r="L181" s="4" t="str">
        <f t="shared" si="14"/>
        <v>KC do Brasil Ltda = 29072,09;</v>
      </c>
    </row>
    <row r="182" spans="2:12">
      <c r="B182" s="26" t="s">
        <v>710</v>
      </c>
      <c r="C182" s="25">
        <v>49910.22</v>
      </c>
      <c r="D182" s="33">
        <f t="shared" si="10"/>
        <v>18.149170909090909</v>
      </c>
      <c r="E182" s="10">
        <v>42284</v>
      </c>
      <c r="F182" s="10"/>
      <c r="G182" s="33">
        <f t="shared" si="11"/>
        <v>18.149170909090909</v>
      </c>
      <c r="H182" s="33">
        <f t="shared" si="12"/>
        <v>980.32502509753419</v>
      </c>
      <c r="I182" s="344">
        <f t="shared" si="13"/>
        <v>998.47</v>
      </c>
      <c r="J182" s="6"/>
      <c r="L182" s="4" t="str">
        <f t="shared" si="14"/>
        <v>Klimaco Mat. Farm e Hosp. Ltda = 998,47;</v>
      </c>
    </row>
    <row r="183" spans="2:12">
      <c r="B183" s="26" t="s">
        <v>711</v>
      </c>
      <c r="C183" s="25">
        <v>1477787.54</v>
      </c>
      <c r="D183" s="33">
        <f t="shared" si="10"/>
        <v>537.37728727272724</v>
      </c>
      <c r="E183" s="10">
        <v>42284</v>
      </c>
      <c r="F183" s="10"/>
      <c r="G183" s="33">
        <f t="shared" si="11"/>
        <v>537.37728727272724</v>
      </c>
      <c r="H183" s="33">
        <f t="shared" si="12"/>
        <v>29026.361880178512</v>
      </c>
      <c r="I183" s="344">
        <f t="shared" si="13"/>
        <v>29563.74</v>
      </c>
      <c r="J183" s="6"/>
      <c r="L183" s="4" t="str">
        <f t="shared" si="14"/>
        <v>La Violeterea Ind. Com. Generos Alim. Ltda = 29563,74;</v>
      </c>
    </row>
    <row r="184" spans="2:12">
      <c r="B184" s="26" t="s">
        <v>145</v>
      </c>
      <c r="C184" s="25">
        <v>13558437.75</v>
      </c>
      <c r="D184" s="33">
        <f t="shared" si="10"/>
        <v>4930.3409999999994</v>
      </c>
      <c r="E184" s="10">
        <v>42284</v>
      </c>
      <c r="F184" s="10"/>
      <c r="G184" s="33">
        <f t="shared" si="11"/>
        <v>4930.3410000000003</v>
      </c>
      <c r="H184" s="33">
        <f t="shared" si="12"/>
        <v>266311.7058500665</v>
      </c>
      <c r="I184" s="344">
        <f t="shared" si="13"/>
        <v>271242.05</v>
      </c>
      <c r="J184" s="6"/>
      <c r="L184" s="4" t="str">
        <f t="shared" si="14"/>
        <v>Lacesa S/S Ind. de Alimentos= 271242,05;</v>
      </c>
    </row>
    <row r="185" spans="2:12">
      <c r="B185" s="26" t="s">
        <v>712</v>
      </c>
      <c r="C185" s="25">
        <v>4406713.5</v>
      </c>
      <c r="D185" s="33">
        <f t="shared" si="10"/>
        <v>1602.4412727272727</v>
      </c>
      <c r="E185" s="10">
        <v>42284</v>
      </c>
      <c r="F185" s="10"/>
      <c r="G185" s="33">
        <f t="shared" si="11"/>
        <v>1602.4412727272727</v>
      </c>
      <c r="H185" s="33">
        <f t="shared" si="12"/>
        <v>86555.649774437828</v>
      </c>
      <c r="I185" s="344">
        <f t="shared" si="13"/>
        <v>88158.09</v>
      </c>
      <c r="J185" s="6"/>
      <c r="L185" s="4" t="str">
        <f t="shared" si="14"/>
        <v>Laticinio Globo Ltda= 88158,09;</v>
      </c>
    </row>
    <row r="186" spans="2:12">
      <c r="B186" s="26" t="s">
        <v>713</v>
      </c>
      <c r="C186" s="25">
        <v>4167579.32</v>
      </c>
      <c r="D186" s="33">
        <f t="shared" si="10"/>
        <v>1515.483389090909</v>
      </c>
      <c r="E186" s="10">
        <v>42284</v>
      </c>
      <c r="F186" s="10"/>
      <c r="G186" s="33">
        <f t="shared" si="11"/>
        <v>1515.483389090909</v>
      </c>
      <c r="H186" s="33">
        <f t="shared" si="12"/>
        <v>81858.63138801961</v>
      </c>
      <c r="I186" s="344">
        <f t="shared" si="13"/>
        <v>83374.11</v>
      </c>
      <c r="J186" s="6"/>
      <c r="L186" s="4" t="str">
        <f t="shared" si="14"/>
        <v>Laticinios Lacador Ltda= 83374,11;</v>
      </c>
    </row>
    <row r="187" spans="2:12">
      <c r="B187" s="26" t="s">
        <v>791</v>
      </c>
      <c r="C187" s="25">
        <v>5734113</v>
      </c>
      <c r="D187" s="33">
        <f t="shared" si="10"/>
        <v>2085.1320000000001</v>
      </c>
      <c r="E187" s="10">
        <v>42284</v>
      </c>
      <c r="F187" s="10"/>
      <c r="G187" s="33">
        <f t="shared" si="11"/>
        <v>2085.1320000000001</v>
      </c>
      <c r="H187" s="33">
        <f t="shared" si="12"/>
        <v>112628.12447304574</v>
      </c>
      <c r="I187" s="344">
        <f t="shared" si="13"/>
        <v>114713.26</v>
      </c>
      <c r="J187" s="6"/>
      <c r="L187" s="4" t="str">
        <f t="shared" si="14"/>
        <v>Laticinios Tirol Ltda= 114713,26;</v>
      </c>
    </row>
    <row r="188" spans="2:12">
      <c r="B188" s="26" t="s">
        <v>290</v>
      </c>
      <c r="C188" s="25">
        <v>385527.38</v>
      </c>
      <c r="D188" s="33">
        <f t="shared" si="10"/>
        <v>140.19177454545454</v>
      </c>
      <c r="E188" s="10">
        <v>42284</v>
      </c>
      <c r="F188" s="10"/>
      <c r="G188" s="33">
        <f t="shared" si="11"/>
        <v>140.19177454545454</v>
      </c>
      <c r="H188" s="33">
        <f t="shared" si="12"/>
        <v>7572.4398424668643</v>
      </c>
      <c r="I188" s="344">
        <f t="shared" si="13"/>
        <v>7712.63</v>
      </c>
      <c r="J188" s="6"/>
      <c r="L188" s="4" t="str">
        <f t="shared" si="14"/>
        <v>Lensana S/A= 7712,63;</v>
      </c>
    </row>
    <row r="189" spans="2:12">
      <c r="B189" s="26" t="s">
        <v>714</v>
      </c>
      <c r="C189" s="25">
        <v>257439.65</v>
      </c>
      <c r="D189" s="33">
        <f t="shared" si="10"/>
        <v>93.614418181818166</v>
      </c>
      <c r="E189" s="10">
        <v>42284</v>
      </c>
      <c r="F189" s="10"/>
      <c r="G189" s="33">
        <f t="shared" si="11"/>
        <v>93.614418181818181</v>
      </c>
      <c r="H189" s="33">
        <f t="shared" si="12"/>
        <v>5056.5702044060399</v>
      </c>
      <c r="I189" s="344">
        <f t="shared" si="13"/>
        <v>5150.18</v>
      </c>
      <c r="J189" s="6"/>
      <c r="L189" s="4" t="str">
        <f t="shared" si="14"/>
        <v>Librizzi e Cia Ltda = 5150,18;</v>
      </c>
    </row>
    <row r="190" spans="2:12">
      <c r="B190" s="26" t="s">
        <v>715</v>
      </c>
      <c r="C190" s="25">
        <v>65737.88</v>
      </c>
      <c r="D190" s="33">
        <f t="shared" si="10"/>
        <v>23.904683636363639</v>
      </c>
      <c r="E190" s="10">
        <v>42284</v>
      </c>
      <c r="F190" s="10"/>
      <c r="G190" s="33">
        <f t="shared" si="11"/>
        <v>23.904683636363639</v>
      </c>
      <c r="H190" s="33">
        <f t="shared" si="12"/>
        <v>1291.2082707882012</v>
      </c>
      <c r="I190" s="344">
        <f t="shared" si="13"/>
        <v>1315.11</v>
      </c>
      <c r="J190" s="6"/>
      <c r="L190" s="4" t="str">
        <f t="shared" si="14"/>
        <v>Lider Com. Prod. Alimenticios Ltda = 1315,11;</v>
      </c>
    </row>
    <row r="191" spans="2:12">
      <c r="B191" s="26" t="s">
        <v>196</v>
      </c>
      <c r="C191" s="25">
        <v>1921922.77</v>
      </c>
      <c r="D191" s="33">
        <f t="shared" si="10"/>
        <v>698.88100727272729</v>
      </c>
      <c r="E191" s="10">
        <v>42284</v>
      </c>
      <c r="F191" s="10"/>
      <c r="G191" s="33">
        <f t="shared" si="11"/>
        <v>698.88100727272729</v>
      </c>
      <c r="H191" s="33">
        <f t="shared" si="12"/>
        <v>37749.963589336461</v>
      </c>
      <c r="I191" s="344">
        <f t="shared" si="13"/>
        <v>38448.839999999997</v>
      </c>
      <c r="J191" s="6"/>
      <c r="L191" s="4" t="str">
        <f t="shared" si="14"/>
        <v>LPC Ind. Alimenticias S/A= 38448,84;</v>
      </c>
    </row>
    <row r="192" spans="2:12">
      <c r="B192" s="26" t="s">
        <v>716</v>
      </c>
      <c r="C192" s="25">
        <v>333442.75</v>
      </c>
      <c r="D192" s="33">
        <f t="shared" si="10"/>
        <v>121.25190909090908</v>
      </c>
      <c r="E192" s="10">
        <v>42284</v>
      </c>
      <c r="F192" s="10"/>
      <c r="G192" s="33">
        <f t="shared" si="11"/>
        <v>121.25190909090909</v>
      </c>
      <c r="H192" s="33">
        <f t="shared" si="12"/>
        <v>6549.4055578665211</v>
      </c>
      <c r="I192" s="344">
        <f t="shared" si="13"/>
        <v>6670.66</v>
      </c>
      <c r="J192" s="6"/>
      <c r="L192" s="4" t="str">
        <f t="shared" si="14"/>
        <v>Luiz Kienen Bebidas Ltda= 6670,66;</v>
      </c>
    </row>
    <row r="193" spans="2:12">
      <c r="B193" s="26" t="s">
        <v>717</v>
      </c>
      <c r="C193" s="25">
        <v>126014.45</v>
      </c>
      <c r="D193" s="33">
        <f t="shared" si="10"/>
        <v>45.823436363636361</v>
      </c>
      <c r="E193" s="10">
        <v>42284</v>
      </c>
      <c r="F193" s="10"/>
      <c r="G193" s="33">
        <f t="shared" si="11"/>
        <v>45.823436363636361</v>
      </c>
      <c r="H193" s="33">
        <f t="shared" si="12"/>
        <v>2475.1467506835666</v>
      </c>
      <c r="I193" s="344">
        <f t="shared" si="13"/>
        <v>2520.9699999999998</v>
      </c>
      <c r="J193" s="6"/>
      <c r="L193" s="4" t="str">
        <f t="shared" si="14"/>
        <v>Lukisa Distr. de Bebidas Ltda = 2520,97;</v>
      </c>
    </row>
    <row r="194" spans="2:12">
      <c r="B194" s="26" t="s">
        <v>718</v>
      </c>
      <c r="C194" s="25">
        <v>1204722.5</v>
      </c>
      <c r="D194" s="33">
        <f t="shared" si="10"/>
        <v>438.08090909090913</v>
      </c>
      <c r="E194" s="10">
        <v>42284</v>
      </c>
      <c r="F194" s="10"/>
      <c r="G194" s="33">
        <f t="shared" si="11"/>
        <v>438.08090909090907</v>
      </c>
      <c r="H194" s="33">
        <f t="shared" si="12"/>
        <v>23662.881370750601</v>
      </c>
      <c r="I194" s="344">
        <f t="shared" si="13"/>
        <v>24100.959999999999</v>
      </c>
      <c r="J194" s="6"/>
      <c r="L194" s="4" t="str">
        <f t="shared" si="14"/>
        <v>Luminar Com. Ind. Ltda = 24100,96;</v>
      </c>
    </row>
    <row r="195" spans="2:12">
      <c r="B195" s="26" t="s">
        <v>719</v>
      </c>
      <c r="C195" s="25">
        <v>1006194.1</v>
      </c>
      <c r="D195" s="33">
        <f t="shared" si="10"/>
        <v>365.88876363636359</v>
      </c>
      <c r="E195" s="10">
        <v>42284</v>
      </c>
      <c r="F195" s="10"/>
      <c r="G195" s="33">
        <f t="shared" si="11"/>
        <v>365.88876363636365</v>
      </c>
      <c r="H195" s="33">
        <f t="shared" si="12"/>
        <v>19763.432345829988</v>
      </c>
      <c r="I195" s="344">
        <f t="shared" si="13"/>
        <v>20129.32</v>
      </c>
      <c r="J195" s="6"/>
      <c r="L195" s="4" t="str">
        <f t="shared" si="14"/>
        <v>Lunardon e Cia Ltda = 20129,32;</v>
      </c>
    </row>
    <row r="196" spans="2:12">
      <c r="B196" s="26" t="s">
        <v>720</v>
      </c>
      <c r="C196" s="25">
        <v>165861.72</v>
      </c>
      <c r="D196" s="33">
        <f t="shared" si="10"/>
        <v>60.313352727272722</v>
      </c>
      <c r="E196" s="10">
        <v>42284</v>
      </c>
      <c r="F196" s="10"/>
      <c r="G196" s="33">
        <f t="shared" si="11"/>
        <v>60.313352727272729</v>
      </c>
      <c r="H196" s="33">
        <f t="shared" si="12"/>
        <v>3257.8176337776149</v>
      </c>
      <c r="I196" s="344">
        <f t="shared" si="13"/>
        <v>3318.13</v>
      </c>
      <c r="J196" s="6"/>
      <c r="L196" s="4" t="str">
        <f t="shared" si="14"/>
        <v>Mabispa Alimentos Ltda = 3318,13;</v>
      </c>
    </row>
    <row r="197" spans="2:12">
      <c r="B197" s="26" t="s">
        <v>721</v>
      </c>
      <c r="C197" s="25">
        <v>82779.16</v>
      </c>
      <c r="D197" s="33">
        <f t="shared" ref="D197:D260" si="15">C197/1000/2.75</f>
        <v>30.101512727272731</v>
      </c>
      <c r="E197" s="10">
        <v>42284</v>
      </c>
      <c r="F197" s="10"/>
      <c r="G197" s="33">
        <f t="shared" si="11"/>
        <v>30.101512727272727</v>
      </c>
      <c r="H197" s="33">
        <f t="shared" si="12"/>
        <v>1625.9291604916345</v>
      </c>
      <c r="I197" s="344">
        <f t="shared" si="13"/>
        <v>1656.03</v>
      </c>
      <c r="J197" s="6"/>
      <c r="L197" s="4" t="str">
        <f t="shared" si="14"/>
        <v>Maison Forestier Emp. Vinhos Ltda = 1656,03;</v>
      </c>
    </row>
    <row r="198" spans="2:12">
      <c r="B198" s="26" t="s">
        <v>306</v>
      </c>
      <c r="C198" s="25">
        <v>311799.82</v>
      </c>
      <c r="D198" s="33">
        <f t="shared" si="15"/>
        <v>113.38175272727273</v>
      </c>
      <c r="E198" s="10">
        <v>42284</v>
      </c>
      <c r="F198" s="10"/>
      <c r="G198" s="33">
        <f t="shared" ref="G198:G261" si="16">C198/2750</f>
        <v>113.38175272727273</v>
      </c>
      <c r="H198" s="33">
        <f t="shared" ref="H198:H261" si="17">G198*$H$4</f>
        <v>6124.3001206347444</v>
      </c>
      <c r="I198" s="344">
        <f t="shared" ref="I198:I261" si="18">ROUND(G198+H198,2)</f>
        <v>6237.68</v>
      </c>
      <c r="J198" s="6"/>
      <c r="L198" s="4" t="str">
        <f t="shared" ref="L198:L261" si="19">B198&amp;"= "&amp;I198&amp;";"</f>
        <v>Manoel F. da Costa S/A= 6237,68;</v>
      </c>
    </row>
    <row r="199" spans="2:12">
      <c r="B199" s="26" t="s">
        <v>348</v>
      </c>
      <c r="C199" s="25">
        <v>137897.84</v>
      </c>
      <c r="D199" s="33">
        <f t="shared" si="15"/>
        <v>50.14466909090909</v>
      </c>
      <c r="E199" s="10">
        <v>42284</v>
      </c>
      <c r="F199" s="10"/>
      <c r="G199" s="33">
        <f t="shared" si="16"/>
        <v>50.14466909090909</v>
      </c>
      <c r="H199" s="33">
        <f t="shared" si="17"/>
        <v>2708.5575551238953</v>
      </c>
      <c r="I199" s="344">
        <f t="shared" si="18"/>
        <v>2758.7</v>
      </c>
      <c r="J199" s="6"/>
      <c r="L199" s="4" t="str">
        <f t="shared" si="19"/>
        <v>Manoel P. Almeida S.A Ind e Com. = 2758,7;</v>
      </c>
    </row>
    <row r="200" spans="2:12">
      <c r="B200" s="26" t="s">
        <v>722</v>
      </c>
      <c r="C200" s="25">
        <v>845641.97</v>
      </c>
      <c r="D200" s="33">
        <f t="shared" si="15"/>
        <v>307.50617090909094</v>
      </c>
      <c r="E200" s="10">
        <v>42284</v>
      </c>
      <c r="F200" s="10"/>
      <c r="G200" s="33">
        <f t="shared" si="16"/>
        <v>307.50617090909088</v>
      </c>
      <c r="H200" s="33">
        <f t="shared" si="17"/>
        <v>16609.90445371265</v>
      </c>
      <c r="I200" s="344">
        <f t="shared" si="18"/>
        <v>16917.41</v>
      </c>
      <c r="J200" s="6"/>
      <c r="L200" s="4" t="str">
        <f t="shared" si="19"/>
        <v>Manoela Ind. de Massas Ltda = 16917,41;</v>
      </c>
    </row>
    <row r="201" spans="2:12">
      <c r="B201" s="26" t="s">
        <v>792</v>
      </c>
      <c r="C201" s="25">
        <v>50719.3</v>
      </c>
      <c r="D201" s="33">
        <f t="shared" si="15"/>
        <v>18.44338181818182</v>
      </c>
      <c r="E201" s="10">
        <v>42284</v>
      </c>
      <c r="F201" s="10"/>
      <c r="G201" s="33">
        <f t="shared" si="16"/>
        <v>18.44338181818182</v>
      </c>
      <c r="H201" s="33">
        <f t="shared" si="17"/>
        <v>996.216787772712</v>
      </c>
      <c r="I201" s="344">
        <f t="shared" si="18"/>
        <v>1014.66</v>
      </c>
      <c r="J201" s="6"/>
      <c r="L201" s="4" t="str">
        <f t="shared" si="19"/>
        <v>Marajo Ind. Benf. Pedras Mat. Cons. Ltda= 1014,66;</v>
      </c>
    </row>
    <row r="202" spans="2:12">
      <c r="B202" s="26" t="s">
        <v>723</v>
      </c>
      <c r="C202" s="25">
        <v>9557.27</v>
      </c>
      <c r="D202" s="33">
        <f t="shared" si="15"/>
        <v>3.4753709090909095</v>
      </c>
      <c r="E202" s="10">
        <v>42284</v>
      </c>
      <c r="F202" s="10"/>
      <c r="G202" s="33">
        <f t="shared" si="16"/>
        <v>3.4753709090909091</v>
      </c>
      <c r="H202" s="33">
        <f t="shared" si="17"/>
        <v>187.72169212265365</v>
      </c>
      <c r="I202" s="344">
        <f t="shared" si="18"/>
        <v>191.2</v>
      </c>
      <c r="J202" s="6"/>
      <c r="L202" s="4" t="str">
        <f t="shared" si="19"/>
        <v>Marcenaria Ravache Ltda= 191,2;</v>
      </c>
    </row>
    <row r="203" spans="2:12">
      <c r="B203" s="26" t="s">
        <v>724</v>
      </c>
      <c r="C203" s="25">
        <v>604636.79</v>
      </c>
      <c r="D203" s="33">
        <f t="shared" si="15"/>
        <v>219.86792363636366</v>
      </c>
      <c r="E203" s="10">
        <v>42284</v>
      </c>
      <c r="F203" s="10"/>
      <c r="G203" s="33">
        <f t="shared" si="16"/>
        <v>219.86792363636366</v>
      </c>
      <c r="H203" s="33">
        <f t="shared" si="17"/>
        <v>11876.136317003662</v>
      </c>
      <c r="I203" s="344">
        <f t="shared" si="18"/>
        <v>12096</v>
      </c>
      <c r="J203" s="6"/>
      <c r="L203" s="4" t="str">
        <f t="shared" si="19"/>
        <v>Mark Alimentos Ltda = 12096;</v>
      </c>
    </row>
    <row r="204" spans="2:12">
      <c r="B204" s="26" t="s">
        <v>725</v>
      </c>
      <c r="C204" s="25">
        <v>237617.15</v>
      </c>
      <c r="D204" s="33">
        <f t="shared" si="15"/>
        <v>86.406236363636353</v>
      </c>
      <c r="E204" s="10">
        <v>42284</v>
      </c>
      <c r="F204" s="10"/>
      <c r="G204" s="33">
        <f t="shared" si="16"/>
        <v>86.406236363636367</v>
      </c>
      <c r="H204" s="33">
        <f t="shared" si="17"/>
        <v>4667.2212331934134</v>
      </c>
      <c r="I204" s="344">
        <f t="shared" si="18"/>
        <v>4753.63</v>
      </c>
      <c r="J204" s="6"/>
      <c r="L204" s="4" t="str">
        <f t="shared" si="19"/>
        <v>Martini e Rossi Ltda = 4753,63;</v>
      </c>
    </row>
    <row r="205" spans="2:12">
      <c r="B205" s="26" t="s">
        <v>726</v>
      </c>
      <c r="C205" s="25">
        <v>688528.44</v>
      </c>
      <c r="D205" s="33">
        <f t="shared" si="15"/>
        <v>250.37397818181816</v>
      </c>
      <c r="E205" s="10">
        <v>42284</v>
      </c>
      <c r="F205" s="10"/>
      <c r="G205" s="33">
        <f t="shared" si="16"/>
        <v>250.37397818181816</v>
      </c>
      <c r="H205" s="33">
        <f t="shared" si="17"/>
        <v>13523.916749382512</v>
      </c>
      <c r="I205" s="344">
        <f t="shared" si="18"/>
        <v>13774.29</v>
      </c>
      <c r="J205" s="6"/>
      <c r="L205" s="4" t="str">
        <f t="shared" si="19"/>
        <v>MCI Informática Ltda = 13774,29;</v>
      </c>
    </row>
    <row r="206" spans="2:12">
      <c r="B206" s="26" t="s">
        <v>727</v>
      </c>
      <c r="C206" s="25">
        <v>34385.96</v>
      </c>
      <c r="D206" s="33">
        <f t="shared" si="15"/>
        <v>12.503985454545454</v>
      </c>
      <c r="E206" s="10">
        <v>42284</v>
      </c>
      <c r="F206" s="10"/>
      <c r="G206" s="33">
        <f t="shared" si="16"/>
        <v>12.503985454545454</v>
      </c>
      <c r="H206" s="33">
        <f t="shared" si="17"/>
        <v>675.40109220121258</v>
      </c>
      <c r="I206" s="344">
        <f t="shared" si="18"/>
        <v>687.91</v>
      </c>
      <c r="J206" s="6"/>
      <c r="L206" s="4" t="str">
        <f t="shared" si="19"/>
        <v>Mecanica de Automoveis Anita Ltda = 687,91;</v>
      </c>
    </row>
    <row r="207" spans="2:12">
      <c r="B207" s="26" t="s">
        <v>728</v>
      </c>
      <c r="C207" s="25">
        <v>622032.04</v>
      </c>
      <c r="D207" s="33">
        <f t="shared" si="15"/>
        <v>226.1934690909091</v>
      </c>
      <c r="E207" s="10">
        <v>42284</v>
      </c>
      <c r="F207" s="10"/>
      <c r="G207" s="33">
        <f t="shared" si="16"/>
        <v>226.1934690909091</v>
      </c>
      <c r="H207" s="33">
        <f t="shared" si="17"/>
        <v>12217.809803773063</v>
      </c>
      <c r="I207" s="344">
        <f t="shared" si="18"/>
        <v>12444</v>
      </c>
      <c r="J207" s="6"/>
      <c r="L207" s="4" t="str">
        <f t="shared" si="19"/>
        <v>Melitta do Brasil Ind. Com. Ltda = 12444;</v>
      </c>
    </row>
    <row r="208" spans="2:12">
      <c r="B208" s="26" t="s">
        <v>321</v>
      </c>
      <c r="C208" s="25">
        <v>237060.9</v>
      </c>
      <c r="D208" s="33">
        <f t="shared" si="15"/>
        <v>86.203963636363639</v>
      </c>
      <c r="E208" s="10">
        <v>42284</v>
      </c>
      <c r="F208" s="10"/>
      <c r="G208" s="33">
        <f t="shared" si="16"/>
        <v>86.203963636363639</v>
      </c>
      <c r="H208" s="33">
        <f t="shared" si="17"/>
        <v>4656.2954990409589</v>
      </c>
      <c r="I208" s="344">
        <f t="shared" si="18"/>
        <v>4742.5</v>
      </c>
      <c r="J208" s="6"/>
      <c r="L208" s="4" t="str">
        <f t="shared" si="19"/>
        <v>Metalgrafica Trivisan S/A= 4742,5;</v>
      </c>
    </row>
    <row r="209" spans="2:12">
      <c r="B209" s="26" t="s">
        <v>729</v>
      </c>
      <c r="C209" s="25">
        <v>258248.73</v>
      </c>
      <c r="D209" s="33">
        <f t="shared" si="15"/>
        <v>93.908629090909102</v>
      </c>
      <c r="E209" s="10">
        <v>42284</v>
      </c>
      <c r="F209" s="10"/>
      <c r="G209" s="33">
        <f t="shared" si="16"/>
        <v>93.908629090909088</v>
      </c>
      <c r="H209" s="33">
        <f t="shared" si="17"/>
        <v>5072.4619670812172</v>
      </c>
      <c r="I209" s="344">
        <f t="shared" si="18"/>
        <v>5166.37</v>
      </c>
      <c r="J209" s="6"/>
      <c r="L209" s="4" t="str">
        <f t="shared" si="19"/>
        <v>Metalurgica Backer Ind. Com. Ltda= 5166,37;</v>
      </c>
    </row>
    <row r="210" spans="2:12">
      <c r="B210" s="26" t="s">
        <v>730</v>
      </c>
      <c r="C210" s="25">
        <v>127936.02</v>
      </c>
      <c r="D210" s="33">
        <f t="shared" si="15"/>
        <v>46.522189090909087</v>
      </c>
      <c r="E210" s="10">
        <v>42284</v>
      </c>
      <c r="F210" s="10"/>
      <c r="G210" s="33">
        <f t="shared" si="16"/>
        <v>46.522189090909094</v>
      </c>
      <c r="H210" s="33">
        <f t="shared" si="17"/>
        <v>2512.8897852459604</v>
      </c>
      <c r="I210" s="344">
        <f t="shared" si="18"/>
        <v>2559.41</v>
      </c>
      <c r="J210" s="6"/>
      <c r="L210" s="4" t="str">
        <f t="shared" si="19"/>
        <v>Metalurgica Caliano Ltda = 2559,41;</v>
      </c>
    </row>
    <row r="211" spans="2:12">
      <c r="B211" s="26" t="s">
        <v>731</v>
      </c>
      <c r="C211" s="25">
        <v>73474.720000000001</v>
      </c>
      <c r="D211" s="33">
        <f t="shared" si="15"/>
        <v>26.71808</v>
      </c>
      <c r="E211" s="10">
        <v>42284</v>
      </c>
      <c r="F211" s="10"/>
      <c r="G211" s="33">
        <f t="shared" si="16"/>
        <v>26.71808</v>
      </c>
      <c r="H211" s="33">
        <f t="shared" si="17"/>
        <v>1443.1734968917046</v>
      </c>
      <c r="I211" s="344">
        <f t="shared" si="18"/>
        <v>1469.89</v>
      </c>
      <c r="J211" s="6"/>
      <c r="L211" s="4" t="str">
        <f t="shared" si="19"/>
        <v>Microlite do Norte Ind. Com. Ltda = 1469,89;</v>
      </c>
    </row>
    <row r="212" spans="2:12">
      <c r="B212" s="26" t="s">
        <v>793</v>
      </c>
      <c r="C212" s="25">
        <v>4794819.83</v>
      </c>
      <c r="D212" s="33">
        <f t="shared" si="15"/>
        <v>1743.5708472727274</v>
      </c>
      <c r="E212" s="10">
        <v>42284</v>
      </c>
      <c r="F212" s="10"/>
      <c r="G212" s="33">
        <f t="shared" si="16"/>
        <v>1743.5708472727274</v>
      </c>
      <c r="H212" s="33">
        <f t="shared" si="17"/>
        <v>94178.744757745109</v>
      </c>
      <c r="I212" s="344">
        <f t="shared" si="18"/>
        <v>95922.32</v>
      </c>
      <c r="J212" s="6"/>
      <c r="L212" s="4" t="str">
        <f t="shared" si="19"/>
        <v>Milton Jose Borguetti e Cia Ltda= 95922,32;</v>
      </c>
    </row>
    <row r="213" spans="2:12">
      <c r="B213" s="26" t="s">
        <v>732</v>
      </c>
      <c r="C213" s="25">
        <v>467548.02</v>
      </c>
      <c r="D213" s="33">
        <f t="shared" si="15"/>
        <v>170.01746181818183</v>
      </c>
      <c r="E213" s="10">
        <v>42284</v>
      </c>
      <c r="F213" s="10"/>
      <c r="G213" s="33">
        <f t="shared" si="16"/>
        <v>170.01746181818183</v>
      </c>
      <c r="H213" s="33">
        <f t="shared" si="17"/>
        <v>9183.4703281372513</v>
      </c>
      <c r="I213" s="344">
        <f t="shared" si="18"/>
        <v>9353.49</v>
      </c>
      <c r="J213" s="6"/>
      <c r="L213" s="4" t="str">
        <f t="shared" si="19"/>
        <v>Moinho Carlos Guth Ltda = 9353,49;</v>
      </c>
    </row>
    <row r="214" spans="2:12">
      <c r="B214" s="26" t="s">
        <v>313</v>
      </c>
      <c r="C214" s="25">
        <v>264974.21999999997</v>
      </c>
      <c r="D214" s="33">
        <f t="shared" si="15"/>
        <v>96.354261818181797</v>
      </c>
      <c r="E214" s="10">
        <v>42284</v>
      </c>
      <c r="F214" s="10"/>
      <c r="G214" s="33">
        <f t="shared" si="16"/>
        <v>96.354261818181811</v>
      </c>
      <c r="H214" s="33">
        <f t="shared" si="17"/>
        <v>5204.5624898407486</v>
      </c>
      <c r="I214" s="344">
        <f t="shared" si="18"/>
        <v>5300.92</v>
      </c>
      <c r="J214" s="6"/>
      <c r="L214" s="4" t="str">
        <f t="shared" si="19"/>
        <v>Moinhos Unidos do Brasil Mate S/A= 5300,92;</v>
      </c>
    </row>
    <row r="215" spans="2:12">
      <c r="B215" s="26" t="s">
        <v>733</v>
      </c>
      <c r="C215" s="25">
        <v>2147403.7000000002</v>
      </c>
      <c r="D215" s="33">
        <f t="shared" si="15"/>
        <v>780.87407272727285</v>
      </c>
      <c r="E215" s="10">
        <v>42284</v>
      </c>
      <c r="F215" s="10"/>
      <c r="G215" s="33">
        <f t="shared" si="16"/>
        <v>780.87407272727285</v>
      </c>
      <c r="H215" s="33">
        <f t="shared" si="17"/>
        <v>42178.807989566827</v>
      </c>
      <c r="I215" s="344">
        <f t="shared" si="18"/>
        <v>42959.68</v>
      </c>
      <c r="J215" s="6"/>
      <c r="L215" s="4" t="str">
        <f t="shared" si="19"/>
        <v>Multibom Distr. de Prod. Aliment. Ltda = 42959,68;</v>
      </c>
    </row>
    <row r="216" spans="2:12">
      <c r="B216" s="26" t="s">
        <v>311</v>
      </c>
      <c r="C216" s="25">
        <v>268867.92</v>
      </c>
      <c r="D216" s="33">
        <f t="shared" si="15"/>
        <v>97.770152727272716</v>
      </c>
      <c r="E216" s="10">
        <v>42284</v>
      </c>
      <c r="F216" s="10"/>
      <c r="G216" s="33">
        <f t="shared" si="16"/>
        <v>97.770152727272716</v>
      </c>
      <c r="H216" s="33">
        <f t="shared" si="17"/>
        <v>5281.0416468194644</v>
      </c>
      <c r="I216" s="344">
        <f t="shared" si="18"/>
        <v>5378.81</v>
      </c>
      <c r="J216" s="6"/>
      <c r="L216" s="4" t="str">
        <f t="shared" si="19"/>
        <v>Multividro Ind. Com. S/A= 5378,81;</v>
      </c>
    </row>
    <row r="217" spans="2:12">
      <c r="B217" s="26" t="s">
        <v>734</v>
      </c>
      <c r="C217" s="25">
        <v>3337107.62</v>
      </c>
      <c r="D217" s="33">
        <f t="shared" si="15"/>
        <v>1213.49368</v>
      </c>
      <c r="E217" s="10">
        <v>42284</v>
      </c>
      <c r="F217" s="10"/>
      <c r="G217" s="33">
        <f t="shared" si="16"/>
        <v>1213.49368</v>
      </c>
      <c r="H217" s="33">
        <f t="shared" si="17"/>
        <v>65546.697877301936</v>
      </c>
      <c r="I217" s="344">
        <f t="shared" si="18"/>
        <v>66760.19</v>
      </c>
      <c r="J217" s="6"/>
      <c r="L217" s="4" t="str">
        <f t="shared" si="19"/>
        <v>Nestle Ind. Com. Ltda= 66760,19;</v>
      </c>
    </row>
    <row r="218" spans="2:12">
      <c r="B218" s="26" t="s">
        <v>735</v>
      </c>
      <c r="C218" s="25">
        <v>1149300.4099999999</v>
      </c>
      <c r="D218" s="33">
        <f t="shared" si="15"/>
        <v>417.92742181818176</v>
      </c>
      <c r="E218" s="10">
        <v>42284</v>
      </c>
      <c r="F218" s="10"/>
      <c r="G218" s="33">
        <f t="shared" si="16"/>
        <v>417.92742181818181</v>
      </c>
      <c r="H218" s="33">
        <f t="shared" si="17"/>
        <v>22574.293466906303</v>
      </c>
      <c r="I218" s="344">
        <f t="shared" si="18"/>
        <v>22992.22</v>
      </c>
      <c r="J218" s="6"/>
      <c r="L218" s="4" t="str">
        <f t="shared" si="19"/>
        <v>Niposul Com. e Repr. De Prod. Alim. Ltda = 22992,22;</v>
      </c>
    </row>
    <row r="219" spans="2:12">
      <c r="B219" s="26" t="s">
        <v>736</v>
      </c>
      <c r="C219" s="25">
        <v>1166493.3899999999</v>
      </c>
      <c r="D219" s="33">
        <f t="shared" si="15"/>
        <v>424.17941454545451</v>
      </c>
      <c r="E219" s="10">
        <v>42284</v>
      </c>
      <c r="F219" s="10"/>
      <c r="G219" s="33">
        <f t="shared" si="16"/>
        <v>424.17941454545451</v>
      </c>
      <c r="H219" s="33">
        <f t="shared" si="17"/>
        <v>22911.994013006908</v>
      </c>
      <c r="I219" s="344">
        <f t="shared" si="18"/>
        <v>23336.17</v>
      </c>
      <c r="J219" s="6"/>
      <c r="L219" s="4" t="str">
        <f t="shared" si="19"/>
        <v>Norte Alimentos Ltda = 23336,17;</v>
      </c>
    </row>
    <row r="220" spans="2:12">
      <c r="B220" s="26" t="s">
        <v>737</v>
      </c>
      <c r="C220" s="25">
        <v>217693.51</v>
      </c>
      <c r="D220" s="33">
        <f t="shared" si="15"/>
        <v>79.161276363636361</v>
      </c>
      <c r="E220" s="10">
        <v>42284</v>
      </c>
      <c r="F220" s="10"/>
      <c r="G220" s="33">
        <f t="shared" si="16"/>
        <v>79.161276363636361</v>
      </c>
      <c r="H220" s="33">
        <f t="shared" si="17"/>
        <v>4275.8856934375426</v>
      </c>
      <c r="I220" s="344">
        <f t="shared" si="18"/>
        <v>4355.05</v>
      </c>
      <c r="J220" s="6"/>
      <c r="L220" s="4" t="str">
        <f t="shared" si="19"/>
        <v>Nova Filozam Com. Imp. Exp. Ltda = 4355,05;</v>
      </c>
    </row>
    <row r="221" spans="2:12">
      <c r="B221" s="26" t="s">
        <v>220</v>
      </c>
      <c r="C221" s="25">
        <v>1233748.3</v>
      </c>
      <c r="D221" s="33">
        <f t="shared" si="15"/>
        <v>448.63574545454543</v>
      </c>
      <c r="E221" s="10">
        <v>42284</v>
      </c>
      <c r="F221" s="10"/>
      <c r="G221" s="33">
        <f t="shared" si="16"/>
        <v>448.63574545454549</v>
      </c>
      <c r="H221" s="33">
        <f t="shared" si="17"/>
        <v>24232.999437019917</v>
      </c>
      <c r="I221" s="344">
        <f t="shared" si="18"/>
        <v>24681.64</v>
      </c>
      <c r="J221" s="6"/>
      <c r="L221" s="4" t="str">
        <f t="shared" si="19"/>
        <v>Olvebra Ind. S/A= 24681,64;</v>
      </c>
    </row>
    <row r="222" spans="2:12">
      <c r="B222" s="26" t="s">
        <v>192</v>
      </c>
      <c r="C222" s="25">
        <v>2136986.77</v>
      </c>
      <c r="D222" s="33">
        <f t="shared" si="15"/>
        <v>777.08609818181822</v>
      </c>
      <c r="E222" s="10">
        <v>42284</v>
      </c>
      <c r="F222" s="10"/>
      <c r="G222" s="33">
        <f t="shared" si="16"/>
        <v>777.08609818181822</v>
      </c>
      <c r="H222" s="33">
        <f t="shared" si="17"/>
        <v>41974.201054079676</v>
      </c>
      <c r="I222" s="344">
        <f t="shared" si="18"/>
        <v>42751.29</v>
      </c>
      <c r="J222" s="6"/>
      <c r="L222" s="4" t="str">
        <f t="shared" si="19"/>
        <v>Orniex S/A= 42751,29;</v>
      </c>
    </row>
    <row r="223" spans="2:12">
      <c r="B223" s="26" t="s">
        <v>738</v>
      </c>
      <c r="C223" s="25">
        <v>326717.26</v>
      </c>
      <c r="D223" s="33">
        <f t="shared" si="15"/>
        <v>118.80627636363637</v>
      </c>
      <c r="E223" s="10">
        <v>42284</v>
      </c>
      <c r="F223" s="10"/>
      <c r="G223" s="33">
        <f t="shared" si="16"/>
        <v>118.80627636363637</v>
      </c>
      <c r="H223" s="33">
        <f t="shared" si="17"/>
        <v>6417.3050351069905</v>
      </c>
      <c r="I223" s="344">
        <f t="shared" si="18"/>
        <v>6536.11</v>
      </c>
      <c r="J223" s="6"/>
      <c r="L223" s="4" t="str">
        <f t="shared" si="19"/>
        <v>Osati Representações Com. Ltda= 6536,11;</v>
      </c>
    </row>
    <row r="224" spans="2:12">
      <c r="B224" s="26" t="s">
        <v>415</v>
      </c>
      <c r="C224" s="25">
        <v>20581.009999999998</v>
      </c>
      <c r="D224" s="33">
        <f t="shared" si="15"/>
        <v>7.484003636363636</v>
      </c>
      <c r="E224" s="10">
        <v>42284</v>
      </c>
      <c r="F224" s="10"/>
      <c r="G224" s="33">
        <f t="shared" si="16"/>
        <v>7.484003636363636</v>
      </c>
      <c r="H224" s="33">
        <f t="shared" si="17"/>
        <v>404.24744961618285</v>
      </c>
      <c r="I224" s="344">
        <f t="shared" si="18"/>
        <v>411.73</v>
      </c>
      <c r="J224" s="6"/>
      <c r="L224" s="4" t="str">
        <f t="shared" si="19"/>
        <v>Otel Organiza. Tec. E Comercial S/A= 411,73;</v>
      </c>
    </row>
    <row r="225" spans="2:12">
      <c r="B225" s="26" t="s">
        <v>794</v>
      </c>
      <c r="C225" s="25">
        <v>10178044.25</v>
      </c>
      <c r="D225" s="33">
        <f t="shared" si="15"/>
        <v>3701.1070000000004</v>
      </c>
      <c r="E225" s="10">
        <v>42284</v>
      </c>
      <c r="F225" s="10"/>
      <c r="G225" s="33">
        <f t="shared" si="16"/>
        <v>3701.107</v>
      </c>
      <c r="H225" s="33">
        <f t="shared" si="17"/>
        <v>199914.79670546559</v>
      </c>
      <c r="I225" s="344">
        <f t="shared" si="18"/>
        <v>203615.9</v>
      </c>
      <c r="J225" s="6"/>
      <c r="L225" s="4" t="str">
        <f t="shared" si="19"/>
        <v>Pamal Com. de Alimentos Ltda= 203615,9;</v>
      </c>
    </row>
    <row r="226" spans="2:12">
      <c r="B226" s="26" t="s">
        <v>199</v>
      </c>
      <c r="C226" s="25">
        <v>1867158.06</v>
      </c>
      <c r="D226" s="33">
        <f t="shared" si="15"/>
        <v>678.96656727272727</v>
      </c>
      <c r="E226" s="10">
        <v>42284</v>
      </c>
      <c r="F226" s="10"/>
      <c r="G226" s="33">
        <f t="shared" si="16"/>
        <v>678.96656727272727</v>
      </c>
      <c r="H226" s="33">
        <f t="shared" si="17"/>
        <v>36674.287791770163</v>
      </c>
      <c r="I226" s="344">
        <f t="shared" si="18"/>
        <v>37353.25</v>
      </c>
      <c r="J226" s="6"/>
      <c r="L226" s="4" t="str">
        <f t="shared" si="19"/>
        <v>Pamplona Frigorifico Riosulense S/A= 37353,25;</v>
      </c>
    </row>
    <row r="227" spans="2:12">
      <c r="B227" s="26" t="s">
        <v>199</v>
      </c>
      <c r="C227" s="25">
        <v>1260801.97</v>
      </c>
      <c r="D227" s="33">
        <f t="shared" si="15"/>
        <v>458.47344363636364</v>
      </c>
      <c r="E227" s="10">
        <v>42284</v>
      </c>
      <c r="F227" s="10"/>
      <c r="G227" s="33">
        <f t="shared" si="16"/>
        <v>458.47344363636364</v>
      </c>
      <c r="H227" s="33">
        <f t="shared" si="17"/>
        <v>24764.381380872906</v>
      </c>
      <c r="I227" s="344">
        <f t="shared" si="18"/>
        <v>25222.85</v>
      </c>
      <c r="J227" s="6"/>
      <c r="L227" s="4" t="str">
        <f t="shared" si="19"/>
        <v>Pamplona Frigorifico Riosulense S/A= 25222,85;</v>
      </c>
    </row>
    <row r="228" spans="2:12">
      <c r="B228" s="26" t="s">
        <v>232</v>
      </c>
      <c r="C228" s="25">
        <v>1060503.7</v>
      </c>
      <c r="D228" s="33">
        <f t="shared" si="15"/>
        <v>385.63770909090908</v>
      </c>
      <c r="E228" s="10">
        <v>42284</v>
      </c>
      <c r="F228" s="10"/>
      <c r="G228" s="33">
        <f t="shared" si="16"/>
        <v>385.63770909090908</v>
      </c>
      <c r="H228" s="33">
        <f t="shared" si="17"/>
        <v>20830.168977787071</v>
      </c>
      <c r="I228" s="344">
        <f t="shared" si="18"/>
        <v>21215.81</v>
      </c>
      <c r="J228" s="6"/>
      <c r="L228" s="4" t="str">
        <f t="shared" si="19"/>
        <v>Panex S/A Ind. Com. = 21215,81;</v>
      </c>
    </row>
    <row r="229" spans="2:12">
      <c r="B229" s="26" t="s">
        <v>739</v>
      </c>
      <c r="C229" s="25">
        <v>52590.3</v>
      </c>
      <c r="D229" s="33">
        <f t="shared" si="15"/>
        <v>19.123745454545457</v>
      </c>
      <c r="E229" s="10">
        <v>42284</v>
      </c>
      <c r="F229" s="10"/>
      <c r="G229" s="33">
        <f t="shared" si="16"/>
        <v>19.123745454545457</v>
      </c>
      <c r="H229" s="33">
        <f t="shared" si="17"/>
        <v>1032.966538063484</v>
      </c>
      <c r="I229" s="344">
        <f t="shared" si="18"/>
        <v>1052.0899999999999</v>
      </c>
      <c r="J229" s="6"/>
      <c r="L229" s="4" t="str">
        <f t="shared" si="19"/>
        <v>Papelaria Cruzeiro Ltda = 1052,09;</v>
      </c>
    </row>
    <row r="230" spans="2:12">
      <c r="B230" s="26" t="s">
        <v>325</v>
      </c>
      <c r="C230" s="25">
        <v>223609.92</v>
      </c>
      <c r="D230" s="33">
        <f t="shared" si="15"/>
        <v>81.312698181818192</v>
      </c>
      <c r="E230" s="10">
        <v>42284</v>
      </c>
      <c r="F230" s="10"/>
      <c r="G230" s="33">
        <f t="shared" si="16"/>
        <v>81.312698181818192</v>
      </c>
      <c r="H230" s="33">
        <f t="shared" si="17"/>
        <v>4392.0944535218969</v>
      </c>
      <c r="I230" s="344">
        <f t="shared" si="18"/>
        <v>4473.41</v>
      </c>
      <c r="J230" s="6"/>
      <c r="L230" s="4" t="str">
        <f t="shared" si="19"/>
        <v>Pasbona-Cia Canoinhas de Papel= 4473,41;</v>
      </c>
    </row>
    <row r="231" spans="2:12">
      <c r="B231" s="26" t="s">
        <v>740</v>
      </c>
      <c r="C231" s="25">
        <v>278020.65999999997</v>
      </c>
      <c r="D231" s="33">
        <f t="shared" si="15"/>
        <v>101.09842181818181</v>
      </c>
      <c r="E231" s="10">
        <v>42284</v>
      </c>
      <c r="F231" s="10"/>
      <c r="G231" s="33">
        <f t="shared" si="16"/>
        <v>101.09842181818181</v>
      </c>
      <c r="H231" s="33">
        <f t="shared" si="17"/>
        <v>5460.8176540222221</v>
      </c>
      <c r="I231" s="344">
        <f t="shared" si="18"/>
        <v>5561.92</v>
      </c>
      <c r="J231" s="6"/>
      <c r="L231" s="4" t="str">
        <f t="shared" si="19"/>
        <v>Pastificio Fio de Ouro Ltda= 5561,92;</v>
      </c>
    </row>
    <row r="232" spans="2:12">
      <c r="B232" s="26" t="s">
        <v>741</v>
      </c>
      <c r="C232" s="25">
        <v>144177.66</v>
      </c>
      <c r="D232" s="33">
        <f t="shared" si="15"/>
        <v>52.428240000000002</v>
      </c>
      <c r="E232" s="10">
        <v>42284</v>
      </c>
      <c r="F232" s="10"/>
      <c r="G232" s="33">
        <f t="shared" si="16"/>
        <v>52.428240000000002</v>
      </c>
      <c r="H232" s="33">
        <f t="shared" si="17"/>
        <v>2831.9043305760574</v>
      </c>
      <c r="I232" s="344">
        <f t="shared" si="18"/>
        <v>2884.33</v>
      </c>
      <c r="J232" s="6"/>
      <c r="L232" s="4" t="str">
        <f t="shared" si="19"/>
        <v>Paz e Iazzetti Cia Ltda= 2884,33;</v>
      </c>
    </row>
    <row r="233" spans="2:12">
      <c r="B233" s="26" t="s">
        <v>287</v>
      </c>
      <c r="C233" s="25">
        <v>406057.82</v>
      </c>
      <c r="D233" s="33">
        <f t="shared" si="15"/>
        <v>147.65738909090908</v>
      </c>
      <c r="E233" s="10">
        <v>42284</v>
      </c>
      <c r="F233" s="10"/>
      <c r="G233" s="33">
        <f t="shared" si="16"/>
        <v>147.65738909090911</v>
      </c>
      <c r="H233" s="33">
        <f t="shared" si="17"/>
        <v>7975.6940078114267</v>
      </c>
      <c r="I233" s="344">
        <f t="shared" si="18"/>
        <v>8123.35</v>
      </c>
      <c r="J233" s="6"/>
      <c r="L233" s="4" t="str">
        <f t="shared" si="19"/>
        <v>Pedro Custodio dos Santos= 8123,35;</v>
      </c>
    </row>
    <row r="234" spans="2:12">
      <c r="B234" s="26" t="s">
        <v>742</v>
      </c>
      <c r="C234" s="25">
        <v>3243506.99</v>
      </c>
      <c r="D234" s="33">
        <f t="shared" si="15"/>
        <v>1179.4570872727274</v>
      </c>
      <c r="E234" s="10">
        <v>42284</v>
      </c>
      <c r="F234" s="10"/>
      <c r="G234" s="33">
        <f t="shared" si="16"/>
        <v>1179.4570872727274</v>
      </c>
      <c r="H234" s="33">
        <f t="shared" si="17"/>
        <v>63708.215899985575</v>
      </c>
      <c r="I234" s="344">
        <f t="shared" si="18"/>
        <v>64887.67</v>
      </c>
      <c r="J234" s="6"/>
      <c r="L234" s="4" t="str">
        <f t="shared" si="19"/>
        <v>Pelforte Com. e Ind. de Papeis Ltda = 64887,67;</v>
      </c>
    </row>
    <row r="235" spans="2:12">
      <c r="B235" s="26" t="s">
        <v>155</v>
      </c>
      <c r="C235" s="25">
        <v>7964750.9699999997</v>
      </c>
      <c r="D235" s="33">
        <f t="shared" si="15"/>
        <v>2896.2730799999999</v>
      </c>
      <c r="E235" s="10">
        <v>42284</v>
      </c>
      <c r="F235" s="10"/>
      <c r="G235" s="33">
        <f t="shared" si="16"/>
        <v>2896.2730799999999</v>
      </c>
      <c r="H235" s="33">
        <f t="shared" si="17"/>
        <v>156441.80078871339</v>
      </c>
      <c r="I235" s="344">
        <f t="shared" si="18"/>
        <v>159338.07</v>
      </c>
      <c r="J235" s="6"/>
      <c r="L235" s="4" t="str">
        <f t="shared" si="19"/>
        <v>Pepsico e Cia= 159338,07;</v>
      </c>
    </row>
    <row r="236" spans="2:12">
      <c r="B236" s="26" t="s">
        <v>219</v>
      </c>
      <c r="C236" s="25">
        <v>1237894.8400000001</v>
      </c>
      <c r="D236" s="33">
        <f t="shared" si="15"/>
        <v>450.14357818181821</v>
      </c>
      <c r="E236" s="10">
        <v>42284</v>
      </c>
      <c r="F236" s="10"/>
      <c r="G236" s="33">
        <f t="shared" si="16"/>
        <v>450.14357818181821</v>
      </c>
      <c r="H236" s="33">
        <f t="shared" si="17"/>
        <v>24314.44481893905</v>
      </c>
      <c r="I236" s="344">
        <f t="shared" si="18"/>
        <v>24764.59</v>
      </c>
      <c r="J236" s="6"/>
      <c r="L236" s="4" t="str">
        <f t="shared" si="19"/>
        <v>Petybon S/A= 24764,59;</v>
      </c>
    </row>
    <row r="237" spans="2:12">
      <c r="B237" s="26" t="s">
        <v>743</v>
      </c>
      <c r="C237" s="25">
        <v>2152409.89</v>
      </c>
      <c r="D237" s="33">
        <f t="shared" si="15"/>
        <v>782.69450545454538</v>
      </c>
      <c r="E237" s="10">
        <v>42284</v>
      </c>
      <c r="F237" s="10"/>
      <c r="G237" s="33">
        <f t="shared" si="16"/>
        <v>782.69450545454549</v>
      </c>
      <c r="H237" s="33">
        <f t="shared" si="17"/>
        <v>42277.138418432754</v>
      </c>
      <c r="I237" s="344">
        <f t="shared" si="18"/>
        <v>43059.83</v>
      </c>
      <c r="J237" s="6"/>
      <c r="L237" s="4" t="str">
        <f t="shared" si="19"/>
        <v>Plasticom Plasticos Ind. e Com. Ltda= 43059,83;</v>
      </c>
    </row>
    <row r="238" spans="2:12">
      <c r="B238" s="26" t="s">
        <v>744</v>
      </c>
      <c r="C238" s="25">
        <v>773987.68</v>
      </c>
      <c r="D238" s="33">
        <f t="shared" si="15"/>
        <v>281.45006545454549</v>
      </c>
      <c r="E238" s="10">
        <v>42284</v>
      </c>
      <c r="F238" s="10"/>
      <c r="G238" s="33">
        <f t="shared" si="16"/>
        <v>281.45006545454549</v>
      </c>
      <c r="H238" s="33">
        <f t="shared" si="17"/>
        <v>15202.487422840099</v>
      </c>
      <c r="I238" s="344">
        <f t="shared" si="18"/>
        <v>15483.94</v>
      </c>
      <c r="J238" s="6"/>
      <c r="L238" s="4" t="str">
        <f t="shared" si="19"/>
        <v>Plásticos Suzuki Ltda = 15483,94;</v>
      </c>
    </row>
    <row r="239" spans="2:12">
      <c r="B239" s="26" t="s">
        <v>745</v>
      </c>
      <c r="C239" s="25">
        <v>536775.06999999995</v>
      </c>
      <c r="D239" s="33">
        <f t="shared" si="15"/>
        <v>195.19093454545452</v>
      </c>
      <c r="E239" s="10">
        <v>42284</v>
      </c>
      <c r="F239" s="10"/>
      <c r="G239" s="33">
        <f t="shared" si="16"/>
        <v>195.19093454545452</v>
      </c>
      <c r="H239" s="33">
        <f t="shared" si="17"/>
        <v>10543.212070984271</v>
      </c>
      <c r="I239" s="344">
        <f t="shared" si="18"/>
        <v>10738.4</v>
      </c>
      <c r="J239" s="6"/>
      <c r="L239" s="4" t="str">
        <f t="shared" si="19"/>
        <v>Plasvale Ind. Plast. do Vale Ltda= 10738,4;</v>
      </c>
    </row>
    <row r="240" spans="2:12">
      <c r="B240" s="26" t="s">
        <v>422</v>
      </c>
      <c r="C240" s="25">
        <v>661778.18000000005</v>
      </c>
      <c r="D240" s="33">
        <f t="shared" si="15"/>
        <v>240.64661090909092</v>
      </c>
      <c r="E240" s="10">
        <v>42284</v>
      </c>
      <c r="F240" s="10"/>
      <c r="G240" s="33">
        <f t="shared" si="16"/>
        <v>240.64661090909092</v>
      </c>
      <c r="H240" s="33">
        <f t="shared" si="17"/>
        <v>12998.49431474156</v>
      </c>
      <c r="I240" s="344">
        <f t="shared" si="18"/>
        <v>13239.14</v>
      </c>
      <c r="J240" s="6"/>
      <c r="L240" s="4" t="str">
        <f t="shared" si="19"/>
        <v>Popasa Potinga Papeis S/A= 13239,14;</v>
      </c>
    </row>
    <row r="241" spans="2:12">
      <c r="B241" s="26" t="s">
        <v>346</v>
      </c>
      <c r="C241" s="25">
        <v>139111.46</v>
      </c>
      <c r="D241" s="33">
        <f t="shared" si="15"/>
        <v>50.585985454545451</v>
      </c>
      <c r="E241" s="10">
        <v>42284</v>
      </c>
      <c r="F241" s="10"/>
      <c r="G241" s="33">
        <f t="shared" si="16"/>
        <v>50.585985454545451</v>
      </c>
      <c r="H241" s="33">
        <f t="shared" si="17"/>
        <v>2732.3951991366621</v>
      </c>
      <c r="I241" s="344">
        <f t="shared" si="18"/>
        <v>2782.98</v>
      </c>
      <c r="J241" s="6"/>
      <c r="L241" s="4" t="str">
        <f t="shared" si="19"/>
        <v>Pratel De L. D. da Costa= 2782,98;</v>
      </c>
    </row>
    <row r="242" spans="2:12">
      <c r="B242" s="26" t="s">
        <v>371</v>
      </c>
      <c r="C242" s="25">
        <v>99213.63</v>
      </c>
      <c r="D242" s="33">
        <f t="shared" si="15"/>
        <v>36.077683636363638</v>
      </c>
      <c r="E242" s="10">
        <v>42284</v>
      </c>
      <c r="F242" s="10"/>
      <c r="G242" s="33">
        <f t="shared" si="16"/>
        <v>36.077683636363638</v>
      </c>
      <c r="H242" s="33">
        <f t="shared" si="17"/>
        <v>1948.731228188685</v>
      </c>
      <c r="I242" s="344">
        <f t="shared" si="18"/>
        <v>1984.81</v>
      </c>
      <c r="J242" s="6"/>
      <c r="L242" s="4" t="str">
        <f t="shared" si="19"/>
        <v>Pro Higiene Trambrands S/A= 1984,81;</v>
      </c>
    </row>
    <row r="243" spans="2:12">
      <c r="B243" s="26" t="s">
        <v>746</v>
      </c>
      <c r="C243" s="25">
        <v>1880305.63</v>
      </c>
      <c r="D243" s="33">
        <f t="shared" si="15"/>
        <v>683.74750181818172</v>
      </c>
      <c r="E243" s="10">
        <v>42284</v>
      </c>
      <c r="F243" s="10"/>
      <c r="G243" s="33">
        <f t="shared" si="16"/>
        <v>683.74750181818183</v>
      </c>
      <c r="H243" s="33">
        <f t="shared" si="17"/>
        <v>36932.529328077195</v>
      </c>
      <c r="I243" s="344">
        <f t="shared" si="18"/>
        <v>37616.28</v>
      </c>
      <c r="J243" s="6"/>
      <c r="L243" s="4" t="str">
        <f t="shared" si="19"/>
        <v>Prod. Aliment. Fleischmann e Royal Ltda = 37616,28;</v>
      </c>
    </row>
    <row r="244" spans="2:12">
      <c r="B244" s="26" t="s">
        <v>746</v>
      </c>
      <c r="C244" s="25">
        <v>1612398.49</v>
      </c>
      <c r="D244" s="33">
        <f t="shared" si="15"/>
        <v>586.32672363636368</v>
      </c>
      <c r="E244" s="10">
        <v>42284</v>
      </c>
      <c r="F244" s="10"/>
      <c r="G244" s="33">
        <f t="shared" si="16"/>
        <v>586.32672363636368</v>
      </c>
      <c r="H244" s="33">
        <f t="shared" si="17"/>
        <v>31670.359100330079</v>
      </c>
      <c r="I244" s="344">
        <f t="shared" si="18"/>
        <v>32256.69</v>
      </c>
      <c r="J244" s="6"/>
      <c r="L244" s="4" t="str">
        <f t="shared" si="19"/>
        <v>Prod. Aliment. Fleischmann e Royal Ltda = 32256,69;</v>
      </c>
    </row>
    <row r="245" spans="2:12">
      <c r="B245" s="26" t="s">
        <v>747</v>
      </c>
      <c r="C245" s="25">
        <v>687618.22</v>
      </c>
      <c r="D245" s="33">
        <f t="shared" si="15"/>
        <v>250.04298909090906</v>
      </c>
      <c r="E245" s="10">
        <v>42284</v>
      </c>
      <c r="F245" s="10"/>
      <c r="G245" s="33">
        <f t="shared" si="16"/>
        <v>250.04298909090909</v>
      </c>
      <c r="H245" s="33">
        <f t="shared" si="17"/>
        <v>13506.038418164091</v>
      </c>
      <c r="I245" s="344">
        <f t="shared" si="18"/>
        <v>13756.08</v>
      </c>
      <c r="J245" s="6"/>
      <c r="L245" s="4" t="str">
        <f t="shared" si="19"/>
        <v>Prod. Alimentares Jr. Ltda = 13756,08;</v>
      </c>
    </row>
    <row r="246" spans="2:12">
      <c r="B246" s="26" t="s">
        <v>748</v>
      </c>
      <c r="C246" s="25">
        <v>913705.96</v>
      </c>
      <c r="D246" s="33">
        <f t="shared" si="15"/>
        <v>332.25671272727271</v>
      </c>
      <c r="E246" s="10">
        <v>42284</v>
      </c>
      <c r="F246" s="10"/>
      <c r="G246" s="33">
        <f t="shared" si="16"/>
        <v>332.25671272727271</v>
      </c>
      <c r="H246" s="33">
        <f t="shared" si="17"/>
        <v>17946.801640400834</v>
      </c>
      <c r="I246" s="344">
        <f t="shared" si="18"/>
        <v>18279.060000000001</v>
      </c>
      <c r="J246" s="6"/>
      <c r="L246" s="4" t="str">
        <f t="shared" si="19"/>
        <v>Prodalin Com. Repr. Ltda = 18279,06;</v>
      </c>
    </row>
    <row r="247" spans="2:12">
      <c r="B247" s="26" t="s">
        <v>749</v>
      </c>
      <c r="C247" s="25">
        <v>413229.56</v>
      </c>
      <c r="D247" s="33">
        <f t="shared" si="15"/>
        <v>150.26529454545454</v>
      </c>
      <c r="E247" s="10">
        <v>42284</v>
      </c>
      <c r="F247" s="10"/>
      <c r="G247" s="33">
        <f t="shared" si="16"/>
        <v>150.26529454545454</v>
      </c>
      <c r="H247" s="33">
        <f t="shared" si="17"/>
        <v>8116.5596701044988</v>
      </c>
      <c r="I247" s="344">
        <f t="shared" si="18"/>
        <v>8266.82</v>
      </c>
      <c r="J247" s="6"/>
      <c r="L247" s="4" t="str">
        <f t="shared" si="19"/>
        <v>Quaker Alimentos Ltda = 8266,82;</v>
      </c>
    </row>
    <row r="248" spans="2:12">
      <c r="B248" s="26" t="s">
        <v>750</v>
      </c>
      <c r="C248" s="25">
        <v>74182.66</v>
      </c>
      <c r="D248" s="33">
        <f t="shared" si="15"/>
        <v>26.975512727272726</v>
      </c>
      <c r="E248" s="10">
        <v>42284</v>
      </c>
      <c r="F248" s="10"/>
      <c r="G248" s="33">
        <f t="shared" si="16"/>
        <v>26.975512727272729</v>
      </c>
      <c r="H248" s="33">
        <f t="shared" si="17"/>
        <v>1457.0786910236391</v>
      </c>
      <c r="I248" s="344">
        <f t="shared" si="18"/>
        <v>1484.05</v>
      </c>
      <c r="J248" s="6"/>
      <c r="L248" s="4" t="str">
        <f t="shared" si="19"/>
        <v>Quimica Catarinense Ltda = 1484,05;</v>
      </c>
    </row>
    <row r="249" spans="2:12">
      <c r="B249" s="26" t="s">
        <v>751</v>
      </c>
      <c r="C249" s="25">
        <v>119440.67</v>
      </c>
      <c r="D249" s="33">
        <f t="shared" si="15"/>
        <v>43.432970909090905</v>
      </c>
      <c r="E249" s="10">
        <v>42284</v>
      </c>
      <c r="F249" s="10"/>
      <c r="G249" s="33">
        <f t="shared" si="16"/>
        <v>43.432970909090912</v>
      </c>
      <c r="H249" s="33">
        <f t="shared" si="17"/>
        <v>2346.0260807389009</v>
      </c>
      <c r="I249" s="344">
        <f t="shared" si="18"/>
        <v>2389.46</v>
      </c>
      <c r="J249" s="6"/>
      <c r="L249" s="4" t="str">
        <f t="shared" si="19"/>
        <v>Radio Brasil Novo Ltda = 2389,46;</v>
      </c>
    </row>
    <row r="250" spans="2:12">
      <c r="B250" s="26" t="s">
        <v>752</v>
      </c>
      <c r="C250" s="25">
        <v>455108.4</v>
      </c>
      <c r="D250" s="33">
        <f t="shared" si="15"/>
        <v>165.49396363636365</v>
      </c>
      <c r="E250" s="10">
        <v>42284</v>
      </c>
      <c r="F250" s="10"/>
      <c r="G250" s="33">
        <f t="shared" si="16"/>
        <v>165.49396363636365</v>
      </c>
      <c r="H250" s="33">
        <f t="shared" si="17"/>
        <v>8939.1341823798539</v>
      </c>
      <c r="I250" s="344">
        <f t="shared" si="18"/>
        <v>9104.6299999999992</v>
      </c>
      <c r="J250" s="6"/>
      <c r="L250" s="4" t="str">
        <f t="shared" si="19"/>
        <v>Radio Colon Ltda = 9104,63;</v>
      </c>
    </row>
    <row r="251" spans="2:12">
      <c r="B251" s="26" t="s">
        <v>753</v>
      </c>
      <c r="C251" s="25">
        <v>903137.33</v>
      </c>
      <c r="D251" s="33">
        <f t="shared" si="15"/>
        <v>328.41357454545454</v>
      </c>
      <c r="E251" s="10">
        <v>42284</v>
      </c>
      <c r="F251" s="10"/>
      <c r="G251" s="33">
        <f t="shared" si="16"/>
        <v>328.41357454545454</v>
      </c>
      <c r="H251" s="33">
        <f t="shared" si="17"/>
        <v>17739.215048516515</v>
      </c>
      <c r="I251" s="344">
        <f t="shared" si="18"/>
        <v>18067.63</v>
      </c>
      <c r="J251" s="6"/>
      <c r="L251" s="4" t="str">
        <f t="shared" si="19"/>
        <v>Radio Cultura de Joinville Ltda = 18067,63;</v>
      </c>
    </row>
    <row r="252" spans="2:12">
      <c r="B252" s="26" t="s">
        <v>754</v>
      </c>
      <c r="C252" s="25">
        <v>151702.79999999999</v>
      </c>
      <c r="D252" s="33">
        <f t="shared" si="15"/>
        <v>55.164654545454546</v>
      </c>
      <c r="E252" s="10">
        <v>42284</v>
      </c>
      <c r="F252" s="10"/>
      <c r="G252" s="33">
        <f t="shared" si="16"/>
        <v>55.164654545454539</v>
      </c>
      <c r="H252" s="33">
        <f t="shared" si="17"/>
        <v>2979.7113941266175</v>
      </c>
      <c r="I252" s="344">
        <f t="shared" si="18"/>
        <v>3034.88</v>
      </c>
      <c r="J252" s="6"/>
      <c r="L252" s="4" t="str">
        <f t="shared" si="19"/>
        <v>Radio Difusora São Francisco Ltda= 3034,88;</v>
      </c>
    </row>
    <row r="253" spans="2:12">
      <c r="B253" s="26" t="s">
        <v>755</v>
      </c>
      <c r="C253" s="25">
        <v>41718.269999999997</v>
      </c>
      <c r="D253" s="33">
        <f t="shared" si="15"/>
        <v>15.170279999999998</v>
      </c>
      <c r="E253" s="10">
        <v>42284</v>
      </c>
      <c r="F253" s="10"/>
      <c r="G253" s="33">
        <f t="shared" si="16"/>
        <v>15.170279999999998</v>
      </c>
      <c r="H253" s="33">
        <f t="shared" si="17"/>
        <v>819.42063338481978</v>
      </c>
      <c r="I253" s="344">
        <f t="shared" si="18"/>
        <v>834.59</v>
      </c>
      <c r="J253" s="6"/>
      <c r="L253" s="4" t="str">
        <f t="shared" si="19"/>
        <v>Radio Floresta Negra Ltda = 834,59;</v>
      </c>
    </row>
    <row r="254" spans="2:12">
      <c r="B254" s="26" t="s">
        <v>756</v>
      </c>
      <c r="C254" s="25">
        <v>144775.03</v>
      </c>
      <c r="D254" s="33">
        <f t="shared" si="15"/>
        <v>52.645465454545452</v>
      </c>
      <c r="E254" s="10">
        <v>42284</v>
      </c>
      <c r="F254" s="10"/>
      <c r="G254" s="33">
        <f t="shared" si="16"/>
        <v>52.645465454545452</v>
      </c>
      <c r="H254" s="33">
        <f t="shared" si="17"/>
        <v>2843.6377342805995</v>
      </c>
      <c r="I254" s="344">
        <f t="shared" si="18"/>
        <v>2896.28</v>
      </c>
      <c r="J254" s="6"/>
      <c r="L254" s="4" t="str">
        <f t="shared" si="19"/>
        <v>Rede Comunc. Perola Vale Ltda = 2896,28;</v>
      </c>
    </row>
    <row r="255" spans="2:12">
      <c r="B255" s="26" t="s">
        <v>757</v>
      </c>
      <c r="C255" s="25">
        <v>461378.78</v>
      </c>
      <c r="D255" s="33">
        <f t="shared" si="15"/>
        <v>167.77410181818183</v>
      </c>
      <c r="E255" s="10">
        <v>42284</v>
      </c>
      <c r="F255" s="10"/>
      <c r="G255" s="33">
        <f t="shared" si="16"/>
        <v>167.77410181818183</v>
      </c>
      <c r="H255" s="33">
        <f t="shared" si="17"/>
        <v>9062.2955395301742</v>
      </c>
      <c r="I255" s="344">
        <f t="shared" si="18"/>
        <v>9230.07</v>
      </c>
      <c r="J255" s="6"/>
      <c r="L255" s="4" t="str">
        <f t="shared" si="19"/>
        <v>Refinações de Milho Brasil Ltda = 9230,07;</v>
      </c>
    </row>
    <row r="256" spans="2:12">
      <c r="B256" s="26" t="s">
        <v>757</v>
      </c>
      <c r="C256" s="25">
        <v>52590.3</v>
      </c>
      <c r="D256" s="33">
        <f t="shared" si="15"/>
        <v>19.123745454545457</v>
      </c>
      <c r="E256" s="10">
        <v>42284</v>
      </c>
      <c r="F256" s="10"/>
      <c r="G256" s="33">
        <f t="shared" si="16"/>
        <v>19.123745454545457</v>
      </c>
      <c r="H256" s="33">
        <f t="shared" si="17"/>
        <v>1032.966538063484</v>
      </c>
      <c r="I256" s="344">
        <f t="shared" si="18"/>
        <v>1052.0899999999999</v>
      </c>
      <c r="J256" s="6"/>
      <c r="L256" s="4" t="str">
        <f t="shared" si="19"/>
        <v>Refinações de Milho Brasil Ltda = 1052,09;</v>
      </c>
    </row>
    <row r="257" spans="2:12">
      <c r="B257" s="26" t="s">
        <v>171</v>
      </c>
      <c r="C257" s="25">
        <v>3512071.52</v>
      </c>
      <c r="D257" s="33">
        <f t="shared" si="15"/>
        <v>1277.1169163636364</v>
      </c>
      <c r="E257" s="10">
        <v>42284</v>
      </c>
      <c r="F257" s="10"/>
      <c r="G257" s="33">
        <f t="shared" si="16"/>
        <v>1277.1169163636364</v>
      </c>
      <c r="H257" s="33">
        <f t="shared" si="17"/>
        <v>68983.298430428375</v>
      </c>
      <c r="I257" s="344">
        <f t="shared" si="18"/>
        <v>70260.42</v>
      </c>
      <c r="J257" s="6"/>
      <c r="L257" s="4" t="str">
        <f t="shared" si="19"/>
        <v>Refinadora Catarinense S/A= 70260,42;</v>
      </c>
    </row>
    <row r="258" spans="2:12">
      <c r="B258" s="26" t="s">
        <v>758</v>
      </c>
      <c r="C258" s="25">
        <v>173042.32</v>
      </c>
      <c r="D258" s="33">
        <f t="shared" si="15"/>
        <v>62.92448000000001</v>
      </c>
      <c r="E258" s="10">
        <v>42284</v>
      </c>
      <c r="F258" s="10"/>
      <c r="G258" s="33">
        <f t="shared" si="16"/>
        <v>62.924480000000003</v>
      </c>
      <c r="H258" s="33">
        <f t="shared" si="17"/>
        <v>3398.8573221463566</v>
      </c>
      <c r="I258" s="344">
        <f t="shared" si="18"/>
        <v>3461.78</v>
      </c>
      <c r="J258" s="6"/>
      <c r="L258" s="4" t="str">
        <f t="shared" si="19"/>
        <v>Reisol Prod. Alimenticios Ltda = 3461,78;</v>
      </c>
    </row>
    <row r="259" spans="2:12">
      <c r="B259" s="26" t="s">
        <v>759</v>
      </c>
      <c r="C259" s="25">
        <v>121362.24000000001</v>
      </c>
      <c r="D259" s="33">
        <f t="shared" si="15"/>
        <v>44.131723636363638</v>
      </c>
      <c r="E259" s="10">
        <v>42284</v>
      </c>
      <c r="F259" s="10"/>
      <c r="G259" s="33">
        <f t="shared" si="16"/>
        <v>44.131723636363638</v>
      </c>
      <c r="H259" s="33">
        <f t="shared" si="17"/>
        <v>2383.7691153012943</v>
      </c>
      <c r="I259" s="344">
        <f t="shared" si="18"/>
        <v>2427.9</v>
      </c>
      <c r="J259" s="6"/>
      <c r="L259" s="4" t="str">
        <f t="shared" si="19"/>
        <v>Represent. Goedert Stanke Ltda = 2427,9;</v>
      </c>
    </row>
    <row r="260" spans="2:12">
      <c r="B260" s="26" t="s">
        <v>760</v>
      </c>
      <c r="C260" s="25">
        <v>375313.72</v>
      </c>
      <c r="D260" s="33">
        <f t="shared" si="15"/>
        <v>136.47771636363635</v>
      </c>
      <c r="E260" s="10">
        <v>42284</v>
      </c>
      <c r="F260" s="10"/>
      <c r="G260" s="33">
        <f t="shared" si="16"/>
        <v>136.47771636363635</v>
      </c>
      <c r="H260" s="33">
        <f t="shared" si="17"/>
        <v>7371.8254894177753</v>
      </c>
      <c r="I260" s="344">
        <f t="shared" si="18"/>
        <v>7508.3</v>
      </c>
      <c r="J260" s="6"/>
      <c r="L260" s="4" t="str">
        <f t="shared" si="19"/>
        <v>Restaurante Pizzaria Veneza Ltda= 7508,3;</v>
      </c>
    </row>
    <row r="261" spans="2:12">
      <c r="B261" s="26" t="s">
        <v>761</v>
      </c>
      <c r="C261" s="25">
        <v>128947.38</v>
      </c>
      <c r="D261" s="33">
        <f t="shared" ref="D261:D298" si="20">C261/1000/2.75</f>
        <v>46.889956363636365</v>
      </c>
      <c r="E261" s="10">
        <v>42284</v>
      </c>
      <c r="F261" s="10"/>
      <c r="G261" s="33">
        <f t="shared" si="16"/>
        <v>46.889956363636365</v>
      </c>
      <c r="H261" s="33">
        <f t="shared" si="17"/>
        <v>2532.7546850076251</v>
      </c>
      <c r="I261" s="344">
        <f t="shared" si="18"/>
        <v>2579.64</v>
      </c>
      <c r="J261" s="6"/>
      <c r="L261" s="4" t="str">
        <f t="shared" si="19"/>
        <v>Roberto Carlos Fernandes Cia Ltda = 2579,64;</v>
      </c>
    </row>
    <row r="262" spans="2:12">
      <c r="B262" s="26" t="s">
        <v>762</v>
      </c>
      <c r="C262" s="25">
        <v>1249727.6599999999</v>
      </c>
      <c r="D262" s="33">
        <f t="shared" si="20"/>
        <v>454.44642181818182</v>
      </c>
      <c r="E262" s="10">
        <v>42284</v>
      </c>
      <c r="F262" s="10"/>
      <c r="G262" s="33">
        <f t="shared" ref="G262:G298" si="21">C262/2750</f>
        <v>454.44642181818176</v>
      </c>
      <c r="H262" s="33">
        <f t="shared" ref="H262:H298" si="22">G262*$H$4</f>
        <v>24546.862339107753</v>
      </c>
      <c r="I262" s="344">
        <f t="shared" ref="I262:I298" si="23">ROUND(G262+H262,2)</f>
        <v>25001.31</v>
      </c>
      <c r="J262" s="6"/>
      <c r="L262" s="4" t="str">
        <f t="shared" ref="L262:L298" si="24">B262&amp;"= "&amp;I262&amp;";"</f>
        <v>Romanha Ind. de Alimentos Ltda = 25001,31;</v>
      </c>
    </row>
    <row r="263" spans="2:12">
      <c r="B263" s="26" t="s">
        <v>246</v>
      </c>
      <c r="C263" s="25">
        <v>866728.66</v>
      </c>
      <c r="D263" s="33">
        <f t="shared" si="20"/>
        <v>315.17405818181817</v>
      </c>
      <c r="E263" s="10">
        <v>42284</v>
      </c>
      <c r="F263" s="10"/>
      <c r="G263" s="33">
        <f t="shared" si="21"/>
        <v>315.17405818181817</v>
      </c>
      <c r="H263" s="33">
        <f t="shared" si="22"/>
        <v>17024.084353209666</v>
      </c>
      <c r="I263" s="344">
        <f t="shared" si="23"/>
        <v>17339.259999999998</v>
      </c>
      <c r="J263" s="6"/>
      <c r="L263" s="4" t="str">
        <f t="shared" si="24"/>
        <v>Romulo Pereira Martins= 17339,26;</v>
      </c>
    </row>
    <row r="264" spans="2:12">
      <c r="B264" s="26" t="s">
        <v>763</v>
      </c>
      <c r="C264" s="25">
        <v>43589.27</v>
      </c>
      <c r="D264" s="33">
        <f t="shared" si="20"/>
        <v>15.850643636363635</v>
      </c>
      <c r="E264" s="10">
        <v>42284</v>
      </c>
      <c r="F264" s="10"/>
      <c r="G264" s="33">
        <f t="shared" si="21"/>
        <v>15.850643636363635</v>
      </c>
      <c r="H264" s="33">
        <f t="shared" si="22"/>
        <v>856.17038367559167</v>
      </c>
      <c r="I264" s="344">
        <f t="shared" si="23"/>
        <v>872.02</v>
      </c>
      <c r="J264" s="6"/>
      <c r="L264" s="4" t="str">
        <f t="shared" si="24"/>
        <v>Rosatex Produtos Quimicos Ltda = 872,02;</v>
      </c>
    </row>
    <row r="265" spans="2:12">
      <c r="B265" s="26" t="s">
        <v>157</v>
      </c>
      <c r="C265" s="25">
        <v>6962501.1399999997</v>
      </c>
      <c r="D265" s="33">
        <f t="shared" si="20"/>
        <v>2531.8185963636361</v>
      </c>
      <c r="E265" s="10">
        <v>42284</v>
      </c>
      <c r="F265" s="10"/>
      <c r="G265" s="33">
        <f t="shared" si="21"/>
        <v>2531.8185963636361</v>
      </c>
      <c r="H265" s="33">
        <f t="shared" si="22"/>
        <v>136755.84088413374</v>
      </c>
      <c r="I265" s="344">
        <f t="shared" si="23"/>
        <v>139287.66</v>
      </c>
      <c r="J265" s="6"/>
      <c r="L265" s="4" t="str">
        <f t="shared" si="24"/>
        <v>S/A Moinho Santista Ind. Gerais = 139287,66;</v>
      </c>
    </row>
    <row r="266" spans="2:12">
      <c r="B266" s="26" t="s">
        <v>142</v>
      </c>
      <c r="C266" s="25">
        <v>29143624.899999999</v>
      </c>
      <c r="D266" s="33">
        <f t="shared" si="20"/>
        <v>10597.681781818181</v>
      </c>
      <c r="E266" s="10">
        <v>42284</v>
      </c>
      <c r="F266" s="10"/>
      <c r="G266" s="33">
        <f t="shared" si="21"/>
        <v>10597.681781818181</v>
      </c>
      <c r="H266" s="33">
        <f t="shared" si="22"/>
        <v>572432.35576853028</v>
      </c>
      <c r="I266" s="344">
        <f t="shared" si="23"/>
        <v>583030.04</v>
      </c>
      <c r="J266" s="6"/>
      <c r="L266" s="4" t="str">
        <f t="shared" si="24"/>
        <v>Sadia Concordia S/A= 583030,04;</v>
      </c>
    </row>
    <row r="267" spans="2:12">
      <c r="B267" s="26" t="s">
        <v>179</v>
      </c>
      <c r="C267" s="25">
        <v>3243506.99</v>
      </c>
      <c r="D267" s="33">
        <f t="shared" si="20"/>
        <v>1179.4570872727274</v>
      </c>
      <c r="E267" s="10">
        <v>42284</v>
      </c>
      <c r="F267" s="10"/>
      <c r="G267" s="33">
        <f t="shared" si="21"/>
        <v>1179.4570872727274</v>
      </c>
      <c r="H267" s="33">
        <f t="shared" si="22"/>
        <v>63708.215899985575</v>
      </c>
      <c r="I267" s="344">
        <f t="shared" si="23"/>
        <v>64887.67</v>
      </c>
      <c r="J267" s="6"/>
      <c r="L267" s="4" t="str">
        <f t="shared" si="24"/>
        <v>Sadia Concordia S/A Ind. e Com. = 64887,67;</v>
      </c>
    </row>
    <row r="268" spans="2:12">
      <c r="B268" s="26" t="s">
        <v>764</v>
      </c>
      <c r="C268" s="25">
        <v>34385.96</v>
      </c>
      <c r="D268" s="33">
        <f t="shared" si="20"/>
        <v>12.503985454545454</v>
      </c>
      <c r="E268" s="10">
        <v>42284</v>
      </c>
      <c r="F268" s="10"/>
      <c r="G268" s="33">
        <f t="shared" si="21"/>
        <v>12.503985454545454</v>
      </c>
      <c r="H268" s="33">
        <f t="shared" si="22"/>
        <v>675.40109220121258</v>
      </c>
      <c r="I268" s="344">
        <f t="shared" si="23"/>
        <v>687.91</v>
      </c>
      <c r="J268" s="6"/>
      <c r="L268" s="4" t="str">
        <f t="shared" si="24"/>
        <v>Salesbran Com. Frutas Verd. e Cereais Ltda = 687,91;</v>
      </c>
    </row>
    <row r="269" spans="2:12">
      <c r="B269" s="26" t="s">
        <v>765</v>
      </c>
      <c r="C269" s="25">
        <v>2795882.6</v>
      </c>
      <c r="D269" s="33">
        <f t="shared" si="20"/>
        <v>1016.6845818181818</v>
      </c>
      <c r="E269" s="10">
        <v>42284</v>
      </c>
      <c r="F269" s="10"/>
      <c r="G269" s="33">
        <f t="shared" si="21"/>
        <v>1016.6845818181819</v>
      </c>
      <c r="H269" s="33">
        <f t="shared" si="22"/>
        <v>54916.080915186489</v>
      </c>
      <c r="I269" s="344">
        <f t="shared" si="23"/>
        <v>55932.77</v>
      </c>
      <c r="J269" s="6"/>
      <c r="L269" s="4" t="str">
        <f t="shared" si="24"/>
        <v>São Conrado-Distr. Prod. Alimenticios Ltda = 55932,77;</v>
      </c>
    </row>
    <row r="270" spans="2:12">
      <c r="B270" s="26" t="s">
        <v>376</v>
      </c>
      <c r="C270" s="25">
        <v>92033.03</v>
      </c>
      <c r="D270" s="33">
        <f t="shared" si="20"/>
        <v>33.466556363636364</v>
      </c>
      <c r="E270" s="10">
        <v>42284</v>
      </c>
      <c r="F270" s="10"/>
      <c r="G270" s="33">
        <f t="shared" si="21"/>
        <v>33.466556363636364</v>
      </c>
      <c r="H270" s="33">
        <f t="shared" si="22"/>
        <v>1807.691539819943</v>
      </c>
      <c r="I270" s="344">
        <f t="shared" si="23"/>
        <v>1841.16</v>
      </c>
      <c r="J270" s="6"/>
      <c r="L270" s="4" t="str">
        <f t="shared" si="24"/>
        <v>São Paulo Alpargatas S/A= 1841,16;</v>
      </c>
    </row>
    <row r="271" spans="2:12">
      <c r="B271" s="26" t="s">
        <v>766</v>
      </c>
      <c r="C271" s="25">
        <v>1074005.25</v>
      </c>
      <c r="D271" s="33">
        <f t="shared" si="20"/>
        <v>390.54736363636363</v>
      </c>
      <c r="E271" s="10">
        <v>42284</v>
      </c>
      <c r="F271" s="10"/>
      <c r="G271" s="33">
        <f t="shared" si="21"/>
        <v>390.54736363636363</v>
      </c>
      <c r="H271" s="33">
        <f t="shared" si="22"/>
        <v>21095.363307577754</v>
      </c>
      <c r="I271" s="344">
        <f t="shared" si="23"/>
        <v>21485.91</v>
      </c>
      <c r="J271" s="6"/>
      <c r="L271" s="4" t="str">
        <f t="shared" si="24"/>
        <v>Seagran do Brasil Ind. Com. Ltda = 21485,91;</v>
      </c>
    </row>
    <row r="272" spans="2:12">
      <c r="B272" s="26" t="s">
        <v>767</v>
      </c>
      <c r="C272" s="25">
        <v>4503297.6100000003</v>
      </c>
      <c r="D272" s="33">
        <f t="shared" si="20"/>
        <v>1637.5627672727276</v>
      </c>
      <c r="E272" s="10">
        <v>42284</v>
      </c>
      <c r="F272" s="10"/>
      <c r="G272" s="33">
        <f t="shared" si="21"/>
        <v>1637.5627672727273</v>
      </c>
      <c r="H272" s="33">
        <f t="shared" si="22"/>
        <v>88452.7325775145</v>
      </c>
      <c r="I272" s="344">
        <f t="shared" si="23"/>
        <v>90090.3</v>
      </c>
      <c r="J272" s="6"/>
      <c r="L272" s="4" t="str">
        <f t="shared" si="24"/>
        <v>Sedigo Lesniovski e Cia Ltda= 90090,3;</v>
      </c>
    </row>
    <row r="273" spans="2:12">
      <c r="B273" s="26" t="s">
        <v>768</v>
      </c>
      <c r="C273" s="25">
        <v>97646.03</v>
      </c>
      <c r="D273" s="33">
        <f t="shared" si="20"/>
        <v>35.507647272727269</v>
      </c>
      <c r="E273" s="10">
        <v>42284</v>
      </c>
      <c r="F273" s="10"/>
      <c r="G273" s="33">
        <f t="shared" si="21"/>
        <v>35.507647272727276</v>
      </c>
      <c r="H273" s="33">
        <f t="shared" si="22"/>
        <v>1917.9407906922586</v>
      </c>
      <c r="I273" s="344">
        <f t="shared" si="23"/>
        <v>1953.45</v>
      </c>
      <c r="J273" s="6"/>
      <c r="L273" s="4" t="str">
        <f t="shared" si="24"/>
        <v>Serraco Com. e Industria Ltda = 1953,45;</v>
      </c>
    </row>
    <row r="274" spans="2:12">
      <c r="B274" s="26" t="s">
        <v>351</v>
      </c>
      <c r="C274" s="25">
        <v>131475.76</v>
      </c>
      <c r="D274" s="33">
        <f t="shared" si="20"/>
        <v>47.809367272727279</v>
      </c>
      <c r="E274" s="10">
        <v>42284</v>
      </c>
      <c r="F274" s="10"/>
      <c r="G274" s="33">
        <f t="shared" si="21"/>
        <v>47.809367272727279</v>
      </c>
      <c r="H274" s="33">
        <f t="shared" si="22"/>
        <v>2582.4165415764023</v>
      </c>
      <c r="I274" s="344">
        <f t="shared" si="23"/>
        <v>2630.23</v>
      </c>
      <c r="J274" s="6"/>
      <c r="L274" s="4" t="str">
        <f t="shared" si="24"/>
        <v>Sococo S/A Ind. Alimenticias = 2630,23;</v>
      </c>
    </row>
    <row r="275" spans="2:12">
      <c r="B275" s="26" t="s">
        <v>769</v>
      </c>
      <c r="C275" s="25">
        <v>31958.720000000001</v>
      </c>
      <c r="D275" s="33">
        <f t="shared" si="20"/>
        <v>11.621352727272727</v>
      </c>
      <c r="E275" s="10">
        <v>42284</v>
      </c>
      <c r="F275" s="10"/>
      <c r="G275" s="33">
        <f t="shared" si="21"/>
        <v>11.621352727272727</v>
      </c>
      <c r="H275" s="33">
        <f t="shared" si="22"/>
        <v>627.72580417567917</v>
      </c>
      <c r="I275" s="344">
        <f t="shared" si="23"/>
        <v>639.35</v>
      </c>
      <c r="J275" s="6"/>
      <c r="L275" s="4" t="str">
        <f t="shared" si="24"/>
        <v>Somencial Ind. Cevada Ltda = 639,35;</v>
      </c>
    </row>
    <row r="276" spans="2:12">
      <c r="B276" s="26" t="s">
        <v>770</v>
      </c>
      <c r="C276" s="25">
        <v>1566331.41</v>
      </c>
      <c r="D276" s="33">
        <f t="shared" si="20"/>
        <v>569.57505818181824</v>
      </c>
      <c r="E276" s="10">
        <v>42284</v>
      </c>
      <c r="F276" s="10"/>
      <c r="G276" s="33">
        <f t="shared" si="21"/>
        <v>569.57505818181812</v>
      </c>
      <c r="H276" s="33">
        <f t="shared" si="22"/>
        <v>30765.520144357324</v>
      </c>
      <c r="I276" s="344">
        <f t="shared" si="23"/>
        <v>31335.1</v>
      </c>
      <c r="J276" s="6"/>
      <c r="L276" s="4" t="str">
        <f t="shared" si="24"/>
        <v>Sonho Infantil Com. Repr. Art. Festas Ltda = 31335,1;</v>
      </c>
    </row>
    <row r="277" spans="2:12">
      <c r="B277" s="26" t="s">
        <v>230</v>
      </c>
      <c r="C277" s="25">
        <v>1096052.73</v>
      </c>
      <c r="D277" s="33">
        <f t="shared" si="20"/>
        <v>398.56462909090902</v>
      </c>
      <c r="E277" s="10">
        <v>42284</v>
      </c>
      <c r="F277" s="10"/>
      <c r="G277" s="33">
        <f t="shared" si="21"/>
        <v>398.56462909090908</v>
      </c>
      <c r="H277" s="33">
        <f t="shared" si="22"/>
        <v>21528.414822564813</v>
      </c>
      <c r="I277" s="344">
        <f t="shared" si="23"/>
        <v>21926.98</v>
      </c>
      <c r="J277" s="6"/>
      <c r="L277" s="4" t="str">
        <f t="shared" si="24"/>
        <v>Switf Armour S/A Ind e Com. = 21926,98;</v>
      </c>
    </row>
    <row r="278" spans="2:12">
      <c r="B278" s="26" t="s">
        <v>771</v>
      </c>
      <c r="C278" s="25">
        <v>3501300.62</v>
      </c>
      <c r="D278" s="33">
        <f t="shared" si="20"/>
        <v>1273.2002254545455</v>
      </c>
      <c r="E278" s="10">
        <v>42284</v>
      </c>
      <c r="F278" s="10"/>
      <c r="G278" s="33">
        <f t="shared" si="21"/>
        <v>1273.2002254545455</v>
      </c>
      <c r="H278" s="33">
        <f t="shared" si="22"/>
        <v>68771.738897875257</v>
      </c>
      <c r="I278" s="344">
        <f t="shared" si="23"/>
        <v>70044.94</v>
      </c>
      <c r="J278" s="6"/>
      <c r="L278" s="4" t="str">
        <f t="shared" si="24"/>
        <v>Tip Top Alimentos Ltda= 70044,94;</v>
      </c>
    </row>
    <row r="279" spans="2:12">
      <c r="B279" s="26" t="s">
        <v>772</v>
      </c>
      <c r="C279" s="25">
        <v>118732.72</v>
      </c>
      <c r="D279" s="33">
        <f t="shared" si="20"/>
        <v>43.175534545454546</v>
      </c>
      <c r="E279" s="10">
        <v>42284</v>
      </c>
      <c r="F279" s="10"/>
      <c r="G279" s="33">
        <f t="shared" si="21"/>
        <v>43.175534545454546</v>
      </c>
      <c r="H279" s="33">
        <f t="shared" si="22"/>
        <v>2332.1206901892738</v>
      </c>
      <c r="I279" s="344">
        <f t="shared" si="23"/>
        <v>2375.3000000000002</v>
      </c>
      <c r="J279" s="6"/>
      <c r="L279" s="4" t="str">
        <f t="shared" si="24"/>
        <v>Totsu Com. de Frutas e Verduras Ltda = 2375,3;</v>
      </c>
    </row>
    <row r="280" spans="2:12">
      <c r="B280" s="26" t="s">
        <v>278</v>
      </c>
      <c r="C280" s="25">
        <v>469621.3</v>
      </c>
      <c r="D280" s="33">
        <f t="shared" si="20"/>
        <v>170.77138181818179</v>
      </c>
      <c r="E280" s="10">
        <v>42284</v>
      </c>
      <c r="F280" s="10"/>
      <c r="G280" s="33">
        <f t="shared" si="21"/>
        <v>170.77138181818182</v>
      </c>
      <c r="H280" s="33">
        <f t="shared" si="22"/>
        <v>9224.1932155145096</v>
      </c>
      <c r="I280" s="344">
        <f t="shared" si="23"/>
        <v>9394.9599999999991</v>
      </c>
      <c r="J280" s="6"/>
      <c r="L280" s="4" t="str">
        <f t="shared" si="24"/>
        <v>Tramontina Farroupilha S/A= 9394,96;</v>
      </c>
    </row>
    <row r="281" spans="2:12">
      <c r="B281" s="26" t="s">
        <v>233</v>
      </c>
      <c r="C281" s="25">
        <v>1059087.81</v>
      </c>
      <c r="D281" s="33">
        <f t="shared" si="20"/>
        <v>385.12284</v>
      </c>
      <c r="E281" s="10">
        <v>42284</v>
      </c>
      <c r="F281" s="10"/>
      <c r="G281" s="33">
        <f t="shared" si="21"/>
        <v>385.12284</v>
      </c>
      <c r="H281" s="33">
        <f t="shared" si="22"/>
        <v>20802.358393105511</v>
      </c>
      <c r="I281" s="344">
        <f t="shared" si="23"/>
        <v>21187.48</v>
      </c>
      <c r="J281" s="6"/>
      <c r="L281" s="4" t="str">
        <f t="shared" si="24"/>
        <v>Tramontina S/A Cutelaria = 21187,48;</v>
      </c>
    </row>
    <row r="282" spans="2:12">
      <c r="B282" s="26" t="s">
        <v>154</v>
      </c>
      <c r="C282" s="25">
        <v>8177792.2699999996</v>
      </c>
      <c r="D282" s="33">
        <f t="shared" si="20"/>
        <v>2973.7426436363635</v>
      </c>
      <c r="E282" s="10">
        <v>42284</v>
      </c>
      <c r="F282" s="10"/>
      <c r="G282" s="33">
        <f t="shared" si="21"/>
        <v>2973.7426436363635</v>
      </c>
      <c r="H282" s="33">
        <f t="shared" si="22"/>
        <v>160626.30884676866</v>
      </c>
      <c r="I282" s="344">
        <f t="shared" si="23"/>
        <v>163600.04999999999</v>
      </c>
      <c r="J282" s="6"/>
      <c r="L282" s="4" t="str">
        <f t="shared" si="24"/>
        <v>Trans. C. de F. e Verduras Bonacolsi Ltda= 163600,05;</v>
      </c>
    </row>
    <row r="283" spans="2:12">
      <c r="B283" s="26" t="s">
        <v>773</v>
      </c>
      <c r="C283" s="25">
        <v>101135.2</v>
      </c>
      <c r="D283" s="33">
        <f t="shared" si="20"/>
        <v>36.776436363636364</v>
      </c>
      <c r="E283" s="10">
        <v>42284</v>
      </c>
      <c r="F283" s="10"/>
      <c r="G283" s="33">
        <f t="shared" si="21"/>
        <v>36.776436363636364</v>
      </c>
      <c r="H283" s="33">
        <f t="shared" si="22"/>
        <v>1986.4742627510786</v>
      </c>
      <c r="I283" s="344">
        <f t="shared" si="23"/>
        <v>2023.25</v>
      </c>
      <c r="J283" s="6"/>
      <c r="L283" s="4" t="str">
        <f t="shared" si="24"/>
        <v>Ts Com. de Frutas e Verduras Ltda = 2023,25;</v>
      </c>
    </row>
    <row r="284" spans="2:12">
      <c r="B284" s="26" t="s">
        <v>795</v>
      </c>
      <c r="C284" s="25">
        <v>2528380</v>
      </c>
      <c r="D284" s="33">
        <f t="shared" si="20"/>
        <v>919.41090909090917</v>
      </c>
      <c r="E284" s="10">
        <v>42284</v>
      </c>
      <c r="F284" s="10"/>
      <c r="G284" s="33">
        <f t="shared" si="21"/>
        <v>919.41090909090906</v>
      </c>
      <c r="H284" s="33">
        <f t="shared" si="22"/>
        <v>49661.856568776959</v>
      </c>
      <c r="I284" s="344">
        <f t="shared" si="23"/>
        <v>50581.27</v>
      </c>
      <c r="J284" s="6"/>
      <c r="L284" s="4" t="str">
        <f t="shared" si="24"/>
        <v>TV Barriga Verde Ltda = 50581,27;</v>
      </c>
    </row>
    <row r="285" spans="2:12">
      <c r="B285" s="26" t="s">
        <v>774</v>
      </c>
      <c r="C285" s="25">
        <v>911025.88</v>
      </c>
      <c r="D285" s="33">
        <f t="shared" si="20"/>
        <v>331.2821381818182</v>
      </c>
      <c r="E285" s="10">
        <v>42284</v>
      </c>
      <c r="F285" s="10"/>
      <c r="G285" s="33">
        <f t="shared" si="21"/>
        <v>331.2821381818182</v>
      </c>
      <c r="H285" s="33">
        <f t="shared" si="22"/>
        <v>17894.160127434887</v>
      </c>
      <c r="I285" s="344">
        <f t="shared" si="23"/>
        <v>18225.439999999999</v>
      </c>
      <c r="J285" s="6"/>
      <c r="L285" s="4" t="str">
        <f t="shared" si="24"/>
        <v>U.G. Ind. e Com. de Embal. Ltda= 18225,44;</v>
      </c>
    </row>
    <row r="286" spans="2:12">
      <c r="B286" s="26" t="s">
        <v>263</v>
      </c>
      <c r="C286" s="25">
        <v>614750.31000000006</v>
      </c>
      <c r="D286" s="33">
        <f t="shared" si="20"/>
        <v>223.54556727272728</v>
      </c>
      <c r="E286" s="10">
        <v>42284</v>
      </c>
      <c r="F286" s="10"/>
      <c r="G286" s="33">
        <f t="shared" si="21"/>
        <v>223.54556727272728</v>
      </c>
      <c r="H286" s="33">
        <f t="shared" si="22"/>
        <v>12074.783743278769</v>
      </c>
      <c r="I286" s="344">
        <f t="shared" si="23"/>
        <v>12298.33</v>
      </c>
      <c r="J286" s="6"/>
      <c r="L286" s="4" t="str">
        <f t="shared" si="24"/>
        <v>União Fabril Exportadora S/A= 12298,33;</v>
      </c>
    </row>
    <row r="287" spans="2:12">
      <c r="B287" s="26" t="s">
        <v>775</v>
      </c>
      <c r="C287" s="25">
        <v>5764.7</v>
      </c>
      <c r="D287" s="33">
        <f t="shared" si="20"/>
        <v>2.0962545454545451</v>
      </c>
      <c r="E287" s="10">
        <v>42284</v>
      </c>
      <c r="F287" s="10"/>
      <c r="G287" s="33">
        <f t="shared" si="21"/>
        <v>2.0962545454545456</v>
      </c>
      <c r="H287" s="33">
        <f t="shared" si="22"/>
        <v>113.2289072694882</v>
      </c>
      <c r="I287" s="344">
        <f t="shared" si="23"/>
        <v>115.33</v>
      </c>
      <c r="J287" s="6"/>
      <c r="L287" s="4" t="str">
        <f t="shared" si="24"/>
        <v>Universo Com. Reps. Ltda = 115,33;</v>
      </c>
    </row>
    <row r="288" spans="2:12">
      <c r="B288" s="26" t="s">
        <v>234</v>
      </c>
      <c r="C288" s="25">
        <v>1050798.8799999999</v>
      </c>
      <c r="D288" s="33">
        <f t="shared" si="20"/>
        <v>382.10868363636359</v>
      </c>
      <c r="E288" s="10">
        <v>42284</v>
      </c>
      <c r="F288" s="10"/>
      <c r="G288" s="33">
        <f t="shared" si="21"/>
        <v>382.10868363636359</v>
      </c>
      <c r="H288" s="33">
        <f t="shared" si="22"/>
        <v>20639.549142609681</v>
      </c>
      <c r="I288" s="344">
        <f t="shared" si="23"/>
        <v>21021.66</v>
      </c>
      <c r="J288" s="6"/>
      <c r="L288" s="4" t="str">
        <f t="shared" si="24"/>
        <v>Valci Rizzo= 21021,66;</v>
      </c>
    </row>
    <row r="289" spans="2:12">
      <c r="B289" s="26" t="s">
        <v>323</v>
      </c>
      <c r="C289" s="25">
        <v>231852.44</v>
      </c>
      <c r="D289" s="33">
        <f t="shared" si="20"/>
        <v>84.309978181818181</v>
      </c>
      <c r="E289" s="10">
        <v>42284</v>
      </c>
      <c r="F289" s="10"/>
      <c r="G289" s="33">
        <f t="shared" si="21"/>
        <v>84.309978181818181</v>
      </c>
      <c r="H289" s="33">
        <f t="shared" si="22"/>
        <v>4553.9921295062322</v>
      </c>
      <c r="I289" s="344">
        <f t="shared" si="23"/>
        <v>4638.3</v>
      </c>
      <c r="J289" s="6"/>
      <c r="L289" s="4" t="str">
        <f t="shared" si="24"/>
        <v>Valdecir Dela Rosa= 4638,3;</v>
      </c>
    </row>
    <row r="290" spans="2:12">
      <c r="B290" s="26" t="s">
        <v>776</v>
      </c>
      <c r="C290" s="25">
        <v>332077.42</v>
      </c>
      <c r="D290" s="33">
        <f t="shared" si="20"/>
        <v>120.75542545454545</v>
      </c>
      <c r="E290" s="10">
        <v>42284</v>
      </c>
      <c r="F290" s="10"/>
      <c r="G290" s="33">
        <f t="shared" si="21"/>
        <v>120.75542545454545</v>
      </c>
      <c r="H290" s="33">
        <f t="shared" si="22"/>
        <v>6522.5880610388886</v>
      </c>
      <c r="I290" s="344">
        <f t="shared" si="23"/>
        <v>6643.34</v>
      </c>
      <c r="J290" s="6"/>
      <c r="L290" s="4" t="str">
        <f t="shared" si="24"/>
        <v>Vemate Verdinha Ind. do Mate Ltda= 6643,34;</v>
      </c>
    </row>
    <row r="291" spans="2:12">
      <c r="B291" s="26" t="s">
        <v>339</v>
      </c>
      <c r="C291" s="25">
        <v>150893.71</v>
      </c>
      <c r="D291" s="33">
        <f t="shared" si="20"/>
        <v>54.870440000000002</v>
      </c>
      <c r="E291" s="10">
        <v>42284</v>
      </c>
      <c r="F291" s="10"/>
      <c r="G291" s="33">
        <f t="shared" si="21"/>
        <v>54.870439999999995</v>
      </c>
      <c r="H291" s="33">
        <f t="shared" si="22"/>
        <v>2963.8194350337471</v>
      </c>
      <c r="I291" s="344">
        <f t="shared" si="23"/>
        <v>3018.69</v>
      </c>
      <c r="J291" s="6"/>
      <c r="L291" s="4" t="str">
        <f t="shared" si="24"/>
        <v>Visagis S/A Ind. Alimenticias= 3018,69;</v>
      </c>
    </row>
    <row r="292" spans="2:12">
      <c r="B292" s="26" t="s">
        <v>271</v>
      </c>
      <c r="C292" s="25">
        <v>559935.03</v>
      </c>
      <c r="D292" s="33">
        <f t="shared" si="20"/>
        <v>203.61273818181817</v>
      </c>
      <c r="E292" s="10">
        <v>42284</v>
      </c>
      <c r="F292" s="10"/>
      <c r="G292" s="33">
        <f t="shared" si="21"/>
        <v>203.6127381818182</v>
      </c>
      <c r="H292" s="33">
        <f t="shared" si="22"/>
        <v>10998.114661440855</v>
      </c>
      <c r="I292" s="344">
        <f t="shared" si="23"/>
        <v>11201.73</v>
      </c>
      <c r="J292" s="6"/>
      <c r="L292" s="4" t="str">
        <f t="shared" si="24"/>
        <v>Vontobel S/A Produtos Mu-Mu  = 11201,73;</v>
      </c>
    </row>
    <row r="293" spans="2:12">
      <c r="B293" s="26" t="s">
        <v>420</v>
      </c>
      <c r="C293" s="25">
        <v>4247.67</v>
      </c>
      <c r="D293" s="33">
        <f t="shared" si="20"/>
        <v>1.5446072727272728</v>
      </c>
      <c r="E293" s="10">
        <v>42284</v>
      </c>
      <c r="F293" s="10"/>
      <c r="G293" s="33">
        <f t="shared" si="21"/>
        <v>1.5446072727272728</v>
      </c>
      <c r="H293" s="33">
        <f t="shared" si="22"/>
        <v>83.431754044683501</v>
      </c>
      <c r="I293" s="344">
        <f t="shared" si="23"/>
        <v>84.98</v>
      </c>
      <c r="J293" s="6"/>
      <c r="L293" s="4" t="str">
        <f t="shared" si="24"/>
        <v>Waldemar Baade= 84,98;</v>
      </c>
    </row>
    <row r="294" spans="2:12">
      <c r="B294" s="26" t="s">
        <v>777</v>
      </c>
      <c r="C294" s="25">
        <v>1626456.28</v>
      </c>
      <c r="D294" s="33">
        <f t="shared" si="20"/>
        <v>591.43864727272728</v>
      </c>
      <c r="E294" s="10">
        <v>42284</v>
      </c>
      <c r="F294" s="10"/>
      <c r="G294" s="33">
        <f t="shared" si="21"/>
        <v>591.43864727272728</v>
      </c>
      <c r="H294" s="33">
        <f t="shared" si="22"/>
        <v>31946.478967855521</v>
      </c>
      <c r="I294" s="344">
        <f t="shared" si="23"/>
        <v>32537.919999999998</v>
      </c>
      <c r="J294" s="6"/>
      <c r="L294" s="4" t="str">
        <f t="shared" si="24"/>
        <v>Weegw Ind. Alimenticia Ltda= 32537,92;</v>
      </c>
    </row>
    <row r="295" spans="2:12">
      <c r="B295" s="26" t="s">
        <v>349</v>
      </c>
      <c r="C295" s="25">
        <v>136431.38</v>
      </c>
      <c r="D295" s="33">
        <f t="shared" si="20"/>
        <v>49.611410909090914</v>
      </c>
      <c r="E295" s="10">
        <v>42284</v>
      </c>
      <c r="F295" s="10"/>
      <c r="G295" s="33">
        <f t="shared" si="21"/>
        <v>49.611410909090914</v>
      </c>
      <c r="H295" s="33">
        <f t="shared" si="22"/>
        <v>2679.7536861707126</v>
      </c>
      <c r="I295" s="344">
        <f t="shared" si="23"/>
        <v>2729.37</v>
      </c>
      <c r="J295" s="6"/>
      <c r="L295" s="4" t="str">
        <f t="shared" si="24"/>
        <v>Weg Penha Pescados S/A= 2729,37;</v>
      </c>
    </row>
    <row r="296" spans="2:12">
      <c r="B296" s="26" t="s">
        <v>378</v>
      </c>
      <c r="C296" s="25">
        <v>85863.78</v>
      </c>
      <c r="D296" s="33">
        <f t="shared" si="20"/>
        <v>31.223192727272728</v>
      </c>
      <c r="E296" s="10">
        <v>42284</v>
      </c>
      <c r="F296" s="10"/>
      <c r="G296" s="33">
        <f t="shared" si="21"/>
        <v>31.223192727272728</v>
      </c>
      <c r="H296" s="33">
        <f t="shared" si="22"/>
        <v>1686.5165547951733</v>
      </c>
      <c r="I296" s="344">
        <f t="shared" si="23"/>
        <v>1717.74</v>
      </c>
      <c r="J296" s="6"/>
      <c r="L296" s="4" t="str">
        <f t="shared" si="24"/>
        <v>White Martins Gases Ind. S/A= 1717,74;</v>
      </c>
    </row>
    <row r="297" spans="2:12">
      <c r="B297" s="26" t="s">
        <v>189</v>
      </c>
      <c r="C297" s="25">
        <v>2176176.66</v>
      </c>
      <c r="D297" s="33">
        <f t="shared" si="20"/>
        <v>791.33696727272729</v>
      </c>
      <c r="E297" s="10">
        <v>42284</v>
      </c>
      <c r="F297" s="10"/>
      <c r="G297" s="33">
        <f t="shared" si="21"/>
        <v>791.33696727272729</v>
      </c>
      <c r="H297" s="33">
        <f t="shared" si="22"/>
        <v>42743.959830895721</v>
      </c>
      <c r="I297" s="344">
        <f t="shared" si="23"/>
        <v>43535.3</v>
      </c>
      <c r="J297" s="6"/>
      <c r="L297" s="4" t="str">
        <f t="shared" si="24"/>
        <v>Yakult S/A Ind. e Com.= 43535,3;</v>
      </c>
    </row>
    <row r="298" spans="2:12">
      <c r="B298" s="26" t="s">
        <v>299</v>
      </c>
      <c r="C298" s="25">
        <v>338954.62</v>
      </c>
      <c r="D298" s="33">
        <f t="shared" si="20"/>
        <v>123.25622545454544</v>
      </c>
      <c r="E298" s="10">
        <v>42284</v>
      </c>
      <c r="F298" s="10"/>
      <c r="G298" s="33">
        <f t="shared" si="21"/>
        <v>123.25622545454546</v>
      </c>
      <c r="H298" s="33">
        <f t="shared" si="22"/>
        <v>6657.6684366132858</v>
      </c>
      <c r="I298" s="344">
        <f t="shared" si="23"/>
        <v>6780.92</v>
      </c>
      <c r="J298" s="6"/>
      <c r="L298" s="4" t="str">
        <f t="shared" si="24"/>
        <v>York S/A Ind. Com.= 6780,92;</v>
      </c>
    </row>
    <row r="299" spans="2:12">
      <c r="B299" s="50" t="s">
        <v>56</v>
      </c>
      <c r="C299" s="52">
        <f t="shared" ref="C299:F299" si="25">SUM(C5:C298)</f>
        <v>527180538.34000027</v>
      </c>
      <c r="D299" s="52">
        <f t="shared" si="25"/>
        <v>191702.013941818</v>
      </c>
      <c r="E299" s="52">
        <f t="shared" si="25"/>
        <v>12431496</v>
      </c>
      <c r="F299" s="52">
        <f t="shared" si="25"/>
        <v>0</v>
      </c>
      <c r="G299" s="52">
        <f>SUM(G5:G298)</f>
        <v>191702.01394181806</v>
      </c>
      <c r="H299" s="52">
        <f t="shared" ref="H299:I299" si="26">SUM(H5:H298)</f>
        <v>10354758.493933545</v>
      </c>
      <c r="I299" s="52">
        <f t="shared" si="26"/>
        <v>10546460.490000013</v>
      </c>
      <c r="J299" s="51"/>
    </row>
    <row r="300" spans="2:12">
      <c r="C300" s="79"/>
    </row>
    <row r="301" spans="2:12">
      <c r="G301" s="79"/>
      <c r="H301" s="79"/>
    </row>
  </sheetData>
  <sortState xmlns:xlrd2="http://schemas.microsoft.com/office/spreadsheetml/2017/richdata2" ref="B5:J298">
    <sortCondition ref="B5"/>
  </sortState>
  <mergeCells count="5">
    <mergeCell ref="B2:J2"/>
    <mergeCell ref="B3:B4"/>
    <mergeCell ref="C3:C4"/>
    <mergeCell ref="G3:G4"/>
    <mergeCell ref="J3:J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A175"/>
  <sheetViews>
    <sheetView showGridLines="0" zoomScale="80" zoomScaleNormal="80" workbookViewId="0">
      <pane xSplit="2" ySplit="8" topLeftCell="L76" activePane="bottomRight" state="frozen"/>
      <selection pane="topRight" activeCell="B1" sqref="B1"/>
      <selection pane="bottomLeft" activeCell="A7" sqref="A7"/>
      <selection pane="bottomRight" activeCell="R54" sqref="R54"/>
    </sheetView>
  </sheetViews>
  <sheetFormatPr defaultColWidth="9.19921875" defaultRowHeight="13.15"/>
  <cols>
    <col min="1" max="1" width="9.19921875" style="4"/>
    <col min="2" max="2" width="26.46484375" style="4" customWidth="1"/>
    <col min="3" max="3" width="39.06640625" style="4" customWidth="1"/>
    <col min="4" max="4" width="15.19921875" style="4" customWidth="1"/>
    <col min="5" max="5" width="21.9296875" style="4" customWidth="1"/>
    <col min="6" max="6" width="11" style="4" customWidth="1"/>
    <col min="7" max="7" width="18.796875" style="4" customWidth="1"/>
    <col min="8" max="8" width="7.33203125" style="4" customWidth="1"/>
    <col min="9" max="9" width="26.33203125" style="4" bestFit="1" customWidth="1"/>
    <col min="10" max="10" width="10.796875" style="4" bestFit="1" customWidth="1"/>
    <col min="11" max="11" width="10.06640625" style="4" bestFit="1" customWidth="1"/>
    <col min="12" max="12" width="8.265625" style="4" bestFit="1" customWidth="1"/>
    <col min="13" max="13" width="11.73046875" style="4" bestFit="1" customWidth="1"/>
    <col min="14" max="14" width="36" style="4" bestFit="1" customWidth="1"/>
    <col min="15" max="15" width="14.796875" style="3" customWidth="1"/>
    <col min="16" max="16" width="18.265625" style="4" bestFit="1" customWidth="1"/>
    <col min="17" max="17" width="13.33203125" style="3" customWidth="1"/>
    <col min="18" max="18" width="10.06640625" style="4" bestFit="1" customWidth="1"/>
    <col min="19" max="19" width="77.73046875" style="4" bestFit="1" customWidth="1"/>
    <col min="20" max="20" width="9.19921875" style="4"/>
    <col min="21" max="21" width="32.53125" style="4" bestFit="1" customWidth="1"/>
    <col min="22" max="22" width="20.46484375" style="4" customWidth="1"/>
    <col min="23" max="23" width="16.796875" style="4" customWidth="1"/>
    <col min="24" max="24" width="10.53125" style="4" bestFit="1" customWidth="1"/>
    <col min="25" max="25" width="12.19921875" style="4" bestFit="1" customWidth="1"/>
    <col min="26" max="16384" width="9.19921875" style="4"/>
  </cols>
  <sheetData>
    <row r="1" spans="2:19">
      <c r="B1" s="37" t="s">
        <v>57</v>
      </c>
      <c r="C1" s="37"/>
    </row>
    <row r="2" spans="2:19">
      <c r="B2" s="4" t="s">
        <v>58</v>
      </c>
    </row>
    <row r="4" spans="2:19">
      <c r="I4" s="15"/>
      <c r="J4" s="15"/>
      <c r="K4" s="15"/>
      <c r="L4" s="15"/>
      <c r="M4" s="15"/>
      <c r="N4" s="15"/>
      <c r="O4" s="134"/>
      <c r="P4" s="15"/>
      <c r="Q4" s="134"/>
      <c r="R4" s="15"/>
      <c r="S4" s="14"/>
    </row>
    <row r="5" spans="2:19">
      <c r="I5" s="15"/>
      <c r="J5" s="15"/>
      <c r="K5" s="15"/>
      <c r="L5" s="15"/>
      <c r="M5" s="15"/>
      <c r="N5" s="15"/>
      <c r="O5" s="134"/>
      <c r="P5" s="15"/>
      <c r="Q5" s="134"/>
      <c r="R5" s="15"/>
      <c r="S5" s="14"/>
    </row>
    <row r="6" spans="2:19" ht="14.65" thickBot="1">
      <c r="B6" s="519" t="s">
        <v>451</v>
      </c>
      <c r="C6" s="520"/>
      <c r="D6" s="520"/>
      <c r="E6" s="520"/>
      <c r="F6" s="520"/>
      <c r="G6" s="520"/>
      <c r="H6" s="520"/>
      <c r="I6" s="520"/>
      <c r="J6" s="520"/>
      <c r="K6" s="520"/>
      <c r="L6" s="520"/>
      <c r="M6" s="520"/>
      <c r="N6" s="520"/>
      <c r="O6" s="520"/>
      <c r="P6" s="520"/>
      <c r="Q6" s="520"/>
      <c r="R6" s="520"/>
      <c r="S6" s="521"/>
    </row>
    <row r="7" spans="2:19" ht="26.25">
      <c r="B7" s="475" t="s">
        <v>423</v>
      </c>
      <c r="C7" s="504" t="s">
        <v>45</v>
      </c>
      <c r="D7" s="505" t="s">
        <v>548</v>
      </c>
      <c r="E7" s="174"/>
      <c r="F7" s="174"/>
      <c r="G7" s="174"/>
      <c r="H7" s="511" t="s">
        <v>454</v>
      </c>
      <c r="I7" s="509" t="s">
        <v>458</v>
      </c>
      <c r="J7" s="507" t="s">
        <v>484</v>
      </c>
      <c r="K7" s="109" t="s">
        <v>483</v>
      </c>
      <c r="L7" s="522" t="s">
        <v>536</v>
      </c>
      <c r="M7" s="523"/>
      <c r="N7" s="524"/>
      <c r="O7" s="513" t="s">
        <v>586</v>
      </c>
      <c r="P7" s="514"/>
      <c r="Q7" s="513" t="s">
        <v>591</v>
      </c>
      <c r="R7" s="514"/>
      <c r="S7" s="128"/>
    </row>
    <row r="8" spans="2:19" ht="26.25">
      <c r="B8" s="476"/>
      <c r="C8" s="489"/>
      <c r="D8" s="506"/>
      <c r="E8" s="139" t="s">
        <v>66</v>
      </c>
      <c r="F8" s="43" t="s">
        <v>95</v>
      </c>
      <c r="G8" s="105" t="s">
        <v>94</v>
      </c>
      <c r="H8" s="512"/>
      <c r="I8" s="510"/>
      <c r="J8" s="508"/>
      <c r="K8" s="121" t="s">
        <v>541</v>
      </c>
      <c r="L8" s="122" t="s">
        <v>541</v>
      </c>
      <c r="M8" s="107" t="s">
        <v>63</v>
      </c>
      <c r="N8" s="108" t="s">
        <v>459</v>
      </c>
      <c r="O8" s="135" t="s">
        <v>541</v>
      </c>
      <c r="P8" s="129" t="s">
        <v>459</v>
      </c>
      <c r="Q8" s="135" t="s">
        <v>541</v>
      </c>
      <c r="R8" s="129" t="s">
        <v>459</v>
      </c>
      <c r="S8" s="104" t="s">
        <v>10</v>
      </c>
    </row>
    <row r="9" spans="2:19">
      <c r="B9" s="27" t="s">
        <v>426</v>
      </c>
      <c r="C9" s="27" t="s">
        <v>572</v>
      </c>
      <c r="D9" s="175">
        <v>1988</v>
      </c>
      <c r="E9" s="10">
        <v>42122</v>
      </c>
      <c r="F9" s="25">
        <v>14.36</v>
      </c>
      <c r="G9" s="144" t="s">
        <v>72</v>
      </c>
      <c r="H9" s="148"/>
      <c r="I9" s="176"/>
      <c r="J9" s="153">
        <v>0</v>
      </c>
      <c r="K9" s="177"/>
      <c r="L9" s="148"/>
      <c r="M9" s="25"/>
      <c r="N9" s="178"/>
      <c r="O9" s="25"/>
      <c r="P9" s="149"/>
      <c r="Q9" s="25"/>
      <c r="R9" s="25"/>
      <c r="S9" s="179"/>
    </row>
    <row r="10" spans="2:19">
      <c r="B10" s="27" t="s">
        <v>426</v>
      </c>
      <c r="C10" s="27" t="s">
        <v>572</v>
      </c>
      <c r="D10" s="175">
        <v>1989</v>
      </c>
      <c r="E10" s="10">
        <v>42122</v>
      </c>
      <c r="F10" s="25">
        <v>10.76</v>
      </c>
      <c r="G10" s="144" t="s">
        <v>96</v>
      </c>
      <c r="H10" s="148"/>
      <c r="I10" s="176"/>
      <c r="J10" s="153">
        <v>0</v>
      </c>
      <c r="K10" s="153"/>
      <c r="L10" s="148"/>
      <c r="M10" s="25"/>
      <c r="N10" s="178"/>
      <c r="O10" s="25"/>
      <c r="P10" s="149"/>
      <c r="Q10" s="25"/>
      <c r="R10" s="25"/>
      <c r="S10" s="179"/>
    </row>
    <row r="11" spans="2:19">
      <c r="B11" s="27" t="s">
        <v>426</v>
      </c>
      <c r="C11" s="27" t="s">
        <v>572</v>
      </c>
      <c r="D11" s="180">
        <v>1990</v>
      </c>
      <c r="E11" s="10">
        <v>42122</v>
      </c>
      <c r="F11" s="25">
        <v>163.69999999999999</v>
      </c>
      <c r="G11" s="144" t="s">
        <v>97</v>
      </c>
      <c r="H11" s="148"/>
      <c r="I11" s="176"/>
      <c r="J11" s="153">
        <v>0</v>
      </c>
      <c r="K11" s="153"/>
      <c r="L11" s="148"/>
      <c r="M11" s="25"/>
      <c r="N11" s="178"/>
      <c r="O11" s="25"/>
      <c r="P11" s="149"/>
      <c r="Q11" s="25"/>
      <c r="R11" s="25"/>
      <c r="S11" s="179"/>
    </row>
    <row r="12" spans="2:19">
      <c r="B12" s="27" t="s">
        <v>426</v>
      </c>
      <c r="C12" s="27" t="s">
        <v>572</v>
      </c>
      <c r="D12" s="180">
        <v>1991</v>
      </c>
      <c r="E12" s="10">
        <v>42122</v>
      </c>
      <c r="F12" s="25">
        <v>453.8</v>
      </c>
      <c r="G12" s="144" t="s">
        <v>98</v>
      </c>
      <c r="H12" s="148"/>
      <c r="I12" s="176"/>
      <c r="J12" s="153">
        <v>0</v>
      </c>
      <c r="K12" s="153"/>
      <c r="L12" s="148"/>
      <c r="M12" s="25"/>
      <c r="N12" s="178"/>
      <c r="O12" s="25"/>
      <c r="P12" s="149"/>
      <c r="Q12" s="25"/>
      <c r="R12" s="25"/>
      <c r="S12" s="179"/>
    </row>
    <row r="13" spans="2:19">
      <c r="B13" s="27" t="s">
        <v>426</v>
      </c>
      <c r="C13" s="27" t="s">
        <v>572</v>
      </c>
      <c r="D13" s="180">
        <v>1992</v>
      </c>
      <c r="E13" s="10">
        <v>42122</v>
      </c>
      <c r="F13" s="25">
        <v>154.56</v>
      </c>
      <c r="G13" s="144" t="s">
        <v>99</v>
      </c>
      <c r="H13" s="148"/>
      <c r="I13" s="176"/>
      <c r="J13" s="153">
        <v>0</v>
      </c>
      <c r="K13" s="153"/>
      <c r="L13" s="148"/>
      <c r="M13" s="25"/>
      <c r="N13" s="178"/>
      <c r="O13" s="25"/>
      <c r="P13" s="149"/>
      <c r="Q13" s="25"/>
      <c r="R13" s="25"/>
      <c r="S13" s="179"/>
    </row>
    <row r="14" spans="2:19">
      <c r="B14" s="27" t="s">
        <v>426</v>
      </c>
      <c r="C14" s="27" t="s">
        <v>572</v>
      </c>
      <c r="D14" s="180">
        <v>1994</v>
      </c>
      <c r="E14" s="10">
        <v>42122</v>
      </c>
      <c r="F14" s="25">
        <v>20.27</v>
      </c>
      <c r="G14" s="144" t="s">
        <v>100</v>
      </c>
      <c r="H14" s="148"/>
      <c r="I14" s="176"/>
      <c r="J14" s="153">
        <v>0</v>
      </c>
      <c r="K14" s="153"/>
      <c r="L14" s="148"/>
      <c r="M14" s="25"/>
      <c r="N14" s="178"/>
      <c r="O14" s="25"/>
      <c r="P14" s="149"/>
      <c r="Q14" s="25"/>
      <c r="R14" s="25"/>
      <c r="S14" s="179"/>
    </row>
    <row r="15" spans="2:19">
      <c r="B15" s="27" t="s">
        <v>426</v>
      </c>
      <c r="C15" s="27" t="s">
        <v>572</v>
      </c>
      <c r="D15" s="180">
        <v>1995</v>
      </c>
      <c r="E15" s="10">
        <v>42122</v>
      </c>
      <c r="F15" s="25">
        <v>133.04</v>
      </c>
      <c r="G15" s="144" t="s">
        <v>101</v>
      </c>
      <c r="H15" s="148"/>
      <c r="I15" s="176"/>
      <c r="J15" s="153">
        <v>0</v>
      </c>
      <c r="K15" s="153"/>
      <c r="L15" s="148"/>
      <c r="M15" s="25"/>
      <c r="N15" s="178"/>
      <c r="O15" s="25"/>
      <c r="P15" s="149"/>
      <c r="Q15" s="25"/>
      <c r="R15" s="25"/>
      <c r="S15" s="179"/>
    </row>
    <row r="16" spans="2:19">
      <c r="B16" s="27" t="s">
        <v>426</v>
      </c>
      <c r="C16" s="27" t="s">
        <v>572</v>
      </c>
      <c r="D16" s="180">
        <v>1996</v>
      </c>
      <c r="E16" s="10">
        <v>42122</v>
      </c>
      <c r="F16" s="25">
        <v>164.96</v>
      </c>
      <c r="G16" s="144" t="s">
        <v>102</v>
      </c>
      <c r="H16" s="148"/>
      <c r="I16" s="176"/>
      <c r="J16" s="153">
        <v>0</v>
      </c>
      <c r="K16" s="153"/>
      <c r="L16" s="148"/>
      <c r="M16" s="25"/>
      <c r="N16" s="178"/>
      <c r="O16" s="25"/>
      <c r="P16" s="149"/>
      <c r="Q16" s="25"/>
      <c r="R16" s="25"/>
      <c r="S16" s="179"/>
    </row>
    <row r="17" spans="2:19">
      <c r="B17" s="27" t="s">
        <v>426</v>
      </c>
      <c r="C17" s="27" t="s">
        <v>572</v>
      </c>
      <c r="D17" s="180">
        <v>1997</v>
      </c>
      <c r="E17" s="10">
        <v>42122</v>
      </c>
      <c r="F17" s="25">
        <v>399.28</v>
      </c>
      <c r="G17" s="144" t="s">
        <v>103</v>
      </c>
      <c r="H17" s="148"/>
      <c r="I17" s="176"/>
      <c r="J17" s="153">
        <v>0</v>
      </c>
      <c r="K17" s="153"/>
      <c r="L17" s="148"/>
      <c r="M17" s="25"/>
      <c r="N17" s="178"/>
      <c r="O17" s="25"/>
      <c r="P17" s="149"/>
      <c r="Q17" s="25"/>
      <c r="R17" s="25"/>
      <c r="S17" s="179"/>
    </row>
    <row r="18" spans="2:19">
      <c r="B18" s="27" t="s">
        <v>426</v>
      </c>
      <c r="C18" s="27" t="s">
        <v>572</v>
      </c>
      <c r="D18" s="180">
        <v>1998</v>
      </c>
      <c r="E18" s="10">
        <v>42122</v>
      </c>
      <c r="F18" s="25">
        <v>543.08000000000004</v>
      </c>
      <c r="G18" s="144" t="s">
        <v>104</v>
      </c>
      <c r="H18" s="148"/>
      <c r="I18" s="176"/>
      <c r="J18" s="153">
        <v>0</v>
      </c>
      <c r="K18" s="181"/>
      <c r="L18" s="182"/>
      <c r="M18" s="25"/>
      <c r="N18" s="178"/>
      <c r="O18" s="25"/>
      <c r="P18" s="149"/>
      <c r="Q18" s="25"/>
      <c r="R18" s="25"/>
      <c r="S18" s="179"/>
    </row>
    <row r="19" spans="2:19">
      <c r="B19" s="27" t="s">
        <v>426</v>
      </c>
      <c r="C19" s="27" t="s">
        <v>572</v>
      </c>
      <c r="D19" s="180">
        <v>1999</v>
      </c>
      <c r="E19" s="10">
        <v>42122</v>
      </c>
      <c r="F19" s="25">
        <v>455.47</v>
      </c>
      <c r="G19" s="144" t="s">
        <v>105</v>
      </c>
      <c r="H19" s="116" t="s">
        <v>482</v>
      </c>
      <c r="I19" s="176"/>
      <c r="J19" s="153"/>
      <c r="K19" s="153">
        <v>129.66</v>
      </c>
      <c r="L19" s="148"/>
      <c r="M19" s="154">
        <v>43424</v>
      </c>
      <c r="N19" s="183" t="s">
        <v>462</v>
      </c>
      <c r="O19" s="164"/>
      <c r="P19" s="297"/>
      <c r="Q19" s="164"/>
      <c r="R19" s="21"/>
      <c r="S19" s="179"/>
    </row>
    <row r="20" spans="2:19">
      <c r="B20" s="27" t="s">
        <v>426</v>
      </c>
      <c r="C20" s="27" t="s">
        <v>572</v>
      </c>
      <c r="D20" s="180">
        <v>2000</v>
      </c>
      <c r="E20" s="10">
        <v>42122</v>
      </c>
      <c r="F20" s="25">
        <v>455.47</v>
      </c>
      <c r="G20" s="144" t="s">
        <v>106</v>
      </c>
      <c r="H20" s="116" t="s">
        <v>482</v>
      </c>
      <c r="I20" s="176"/>
      <c r="J20" s="153"/>
      <c r="K20" s="153">
        <v>129.66</v>
      </c>
      <c r="L20" s="148"/>
      <c r="M20" s="154">
        <v>43424</v>
      </c>
      <c r="N20" s="183" t="s">
        <v>462</v>
      </c>
      <c r="O20" s="164"/>
      <c r="P20" s="297"/>
      <c r="Q20" s="164"/>
      <c r="R20" s="21"/>
      <c r="S20" s="179"/>
    </row>
    <row r="21" spans="2:19">
      <c r="B21" s="27" t="s">
        <v>426</v>
      </c>
      <c r="C21" s="27" t="s">
        <v>572</v>
      </c>
      <c r="D21" s="180">
        <v>2001</v>
      </c>
      <c r="E21" s="10">
        <v>42122</v>
      </c>
      <c r="F21" s="25">
        <v>504.86</v>
      </c>
      <c r="G21" s="144" t="s">
        <v>107</v>
      </c>
      <c r="H21" s="116" t="s">
        <v>482</v>
      </c>
      <c r="I21" s="176"/>
      <c r="J21" s="153"/>
      <c r="K21" s="153">
        <v>143.72</v>
      </c>
      <c r="L21" s="148"/>
      <c r="M21" s="154">
        <v>43424</v>
      </c>
      <c r="N21" s="183" t="s">
        <v>462</v>
      </c>
      <c r="O21" s="164"/>
      <c r="P21" s="297"/>
      <c r="Q21" s="164"/>
      <c r="R21" s="21"/>
      <c r="S21" s="179"/>
    </row>
    <row r="22" spans="2:19">
      <c r="B22" s="27" t="s">
        <v>426</v>
      </c>
      <c r="C22" s="27" t="s">
        <v>572</v>
      </c>
      <c r="D22" s="180">
        <v>2002</v>
      </c>
      <c r="E22" s="10">
        <v>42122</v>
      </c>
      <c r="F22" s="25">
        <v>514.85</v>
      </c>
      <c r="G22" s="144" t="s">
        <v>108</v>
      </c>
      <c r="H22" s="116" t="s">
        <v>482</v>
      </c>
      <c r="I22" s="176"/>
      <c r="J22" s="153"/>
      <c r="K22" s="153">
        <v>146.55000000000001</v>
      </c>
      <c r="L22" s="148"/>
      <c r="M22" s="154">
        <v>43424</v>
      </c>
      <c r="N22" s="183" t="s">
        <v>462</v>
      </c>
      <c r="O22" s="164"/>
      <c r="P22" s="297"/>
      <c r="Q22" s="164"/>
      <c r="R22" s="21"/>
      <c r="S22" s="179"/>
    </row>
    <row r="23" spans="2:19">
      <c r="B23" s="27" t="s">
        <v>426</v>
      </c>
      <c r="C23" s="27" t="s">
        <v>559</v>
      </c>
      <c r="D23" s="180">
        <v>2003</v>
      </c>
      <c r="E23" s="10">
        <v>42122</v>
      </c>
      <c r="F23" s="25">
        <v>515.36</v>
      </c>
      <c r="G23" s="144" t="s">
        <v>109</v>
      </c>
      <c r="H23" s="116" t="s">
        <v>482</v>
      </c>
      <c r="I23" s="176"/>
      <c r="J23" s="153"/>
      <c r="K23" s="153">
        <v>152.59</v>
      </c>
      <c r="L23" s="148"/>
      <c r="M23" s="154">
        <v>43424</v>
      </c>
      <c r="N23" s="183" t="s">
        <v>462</v>
      </c>
      <c r="O23" s="164"/>
      <c r="P23" s="297"/>
      <c r="Q23" s="164"/>
      <c r="R23" s="21"/>
      <c r="S23" s="179"/>
    </row>
    <row r="24" spans="2:19">
      <c r="B24" s="27" t="s">
        <v>426</v>
      </c>
      <c r="C24" s="27" t="s">
        <v>572</v>
      </c>
      <c r="D24" s="180">
        <v>2004</v>
      </c>
      <c r="E24" s="10">
        <v>42122</v>
      </c>
      <c r="F24" s="25">
        <v>530.63</v>
      </c>
      <c r="G24" s="144" t="s">
        <v>110</v>
      </c>
      <c r="H24" s="116" t="s">
        <v>482</v>
      </c>
      <c r="I24" s="176"/>
      <c r="J24" s="153"/>
      <c r="K24" s="153">
        <v>150.56</v>
      </c>
      <c r="L24" s="148"/>
      <c r="M24" s="154">
        <v>43424</v>
      </c>
      <c r="N24" s="183" t="s">
        <v>462</v>
      </c>
      <c r="O24" s="164"/>
      <c r="P24" s="297"/>
      <c r="Q24" s="164"/>
      <c r="R24" s="21"/>
      <c r="S24" s="179"/>
    </row>
    <row r="25" spans="2:19">
      <c r="B25" s="27" t="s">
        <v>426</v>
      </c>
      <c r="C25" s="27" t="s">
        <v>559</v>
      </c>
      <c r="D25" s="180">
        <v>2005</v>
      </c>
      <c r="E25" s="10">
        <v>42122</v>
      </c>
      <c r="F25" s="25">
        <v>532.52</v>
      </c>
      <c r="G25" s="144" t="s">
        <v>111</v>
      </c>
      <c r="H25" s="116" t="s">
        <v>482</v>
      </c>
      <c r="I25" s="176"/>
      <c r="J25" s="153"/>
      <c r="K25" s="153">
        <v>157.77000000000001</v>
      </c>
      <c r="L25" s="148"/>
      <c r="M25" s="154">
        <v>43424</v>
      </c>
      <c r="N25" s="183" t="s">
        <v>462</v>
      </c>
      <c r="O25" s="164"/>
      <c r="P25" s="297"/>
      <c r="Q25" s="164"/>
      <c r="R25" s="21"/>
      <c r="S25" s="179"/>
    </row>
    <row r="26" spans="2:19">
      <c r="B26" s="27" t="s">
        <v>426</v>
      </c>
      <c r="C26" s="27" t="s">
        <v>559</v>
      </c>
      <c r="D26" s="180">
        <v>2006</v>
      </c>
      <c r="E26" s="10">
        <v>42122</v>
      </c>
      <c r="F26" s="25">
        <v>638.54999999999995</v>
      </c>
      <c r="G26" s="144" t="s">
        <v>112</v>
      </c>
      <c r="H26" s="116" t="s">
        <v>482</v>
      </c>
      <c r="I26" s="176"/>
      <c r="J26" s="153"/>
      <c r="K26" s="153">
        <v>172.23</v>
      </c>
      <c r="L26" s="148"/>
      <c r="M26" s="154">
        <v>43424</v>
      </c>
      <c r="N26" s="183" t="s">
        <v>462</v>
      </c>
      <c r="O26" s="164"/>
      <c r="P26" s="297"/>
      <c r="Q26" s="164"/>
      <c r="R26" s="21"/>
      <c r="S26" s="179"/>
    </row>
    <row r="27" spans="2:19">
      <c r="B27" s="27" t="s">
        <v>426</v>
      </c>
      <c r="C27" s="27" t="s">
        <v>559</v>
      </c>
      <c r="D27" s="180">
        <v>2007</v>
      </c>
      <c r="E27" s="10">
        <v>42122</v>
      </c>
      <c r="F27" s="25">
        <v>673.34</v>
      </c>
      <c r="G27" s="144" t="s">
        <v>113</v>
      </c>
      <c r="H27" s="116" t="s">
        <v>482</v>
      </c>
      <c r="I27" s="176"/>
      <c r="J27" s="153"/>
      <c r="K27" s="153">
        <v>292.33999999999997</v>
      </c>
      <c r="L27" s="148"/>
      <c r="M27" s="154">
        <v>43424</v>
      </c>
      <c r="N27" s="183" t="s">
        <v>462</v>
      </c>
      <c r="O27" s="164"/>
      <c r="P27" s="297"/>
      <c r="Q27" s="164"/>
      <c r="R27" s="21"/>
      <c r="S27" s="179"/>
    </row>
    <row r="28" spans="2:19">
      <c r="B28" s="27" t="s">
        <v>426</v>
      </c>
      <c r="C28" s="27" t="s">
        <v>559</v>
      </c>
      <c r="D28" s="180">
        <v>2008</v>
      </c>
      <c r="E28" s="10">
        <v>42122</v>
      </c>
      <c r="F28" s="25">
        <v>668.9</v>
      </c>
      <c r="G28" s="144" t="s">
        <v>114</v>
      </c>
      <c r="H28" s="116" t="s">
        <v>482</v>
      </c>
      <c r="I28" s="176"/>
      <c r="J28" s="153"/>
      <c r="K28" s="153">
        <v>290.37</v>
      </c>
      <c r="L28" s="148"/>
      <c r="M28" s="154">
        <v>43424</v>
      </c>
      <c r="N28" s="183" t="s">
        <v>462</v>
      </c>
      <c r="O28" s="164"/>
      <c r="P28" s="297"/>
      <c r="Q28" s="164"/>
      <c r="R28" s="21"/>
      <c r="S28" s="179"/>
    </row>
    <row r="29" spans="2:19">
      <c r="B29" s="27" t="s">
        <v>426</v>
      </c>
      <c r="C29" s="27" t="s">
        <v>559</v>
      </c>
      <c r="D29" s="180">
        <v>2009</v>
      </c>
      <c r="E29" s="10">
        <v>42122</v>
      </c>
      <c r="F29" s="25">
        <v>676.51</v>
      </c>
      <c r="G29" s="144" t="s">
        <v>115</v>
      </c>
      <c r="H29" s="116" t="s">
        <v>482</v>
      </c>
      <c r="I29" s="176"/>
      <c r="J29" s="153"/>
      <c r="K29" s="153">
        <v>181.99</v>
      </c>
      <c r="L29" s="148"/>
      <c r="M29" s="154">
        <v>43424</v>
      </c>
      <c r="N29" s="183" t="s">
        <v>462</v>
      </c>
      <c r="O29" s="164"/>
      <c r="P29" s="297"/>
      <c r="Q29" s="164"/>
      <c r="R29" s="21"/>
      <c r="S29" s="179"/>
    </row>
    <row r="30" spans="2:19">
      <c r="B30" s="27" t="s">
        <v>426</v>
      </c>
      <c r="C30" s="27" t="s">
        <v>559</v>
      </c>
      <c r="D30" s="180">
        <v>2010</v>
      </c>
      <c r="E30" s="10">
        <v>42122</v>
      </c>
      <c r="F30" s="25">
        <v>690.8</v>
      </c>
      <c r="G30" s="144" t="s">
        <v>116</v>
      </c>
      <c r="H30" s="116" t="s">
        <v>482</v>
      </c>
      <c r="I30" s="176"/>
      <c r="J30" s="153"/>
      <c r="K30" s="153">
        <v>185.71</v>
      </c>
      <c r="L30" s="148"/>
      <c r="M30" s="154">
        <v>43424</v>
      </c>
      <c r="N30" s="183" t="s">
        <v>462</v>
      </c>
      <c r="O30" s="164"/>
      <c r="P30" s="297"/>
      <c r="Q30" s="164"/>
      <c r="R30" s="21"/>
      <c r="S30" s="179"/>
    </row>
    <row r="31" spans="2:19">
      <c r="B31" s="27" t="s">
        <v>426</v>
      </c>
      <c r="C31" s="27" t="s">
        <v>559</v>
      </c>
      <c r="D31" s="180">
        <v>2011</v>
      </c>
      <c r="E31" s="10">
        <v>42122</v>
      </c>
      <c r="F31" s="25">
        <v>732.4</v>
      </c>
      <c r="G31" s="144" t="s">
        <v>117</v>
      </c>
      <c r="H31" s="116" t="s">
        <v>482</v>
      </c>
      <c r="I31" s="176"/>
      <c r="J31" s="153"/>
      <c r="K31" s="153">
        <v>196.9</v>
      </c>
      <c r="L31" s="148"/>
      <c r="M31" s="154">
        <v>43424</v>
      </c>
      <c r="N31" s="183" t="s">
        <v>462</v>
      </c>
      <c r="O31" s="164"/>
      <c r="P31" s="297"/>
      <c r="Q31" s="164"/>
      <c r="R31" s="21"/>
      <c r="S31" s="179"/>
    </row>
    <row r="32" spans="2:19">
      <c r="B32" s="27" t="s">
        <v>426</v>
      </c>
      <c r="C32" s="27" t="s">
        <v>559</v>
      </c>
      <c r="D32" s="180">
        <v>2012</v>
      </c>
      <c r="E32" s="10">
        <v>42122</v>
      </c>
      <c r="F32" s="25">
        <v>777.2</v>
      </c>
      <c r="G32" s="144" t="s">
        <v>118</v>
      </c>
      <c r="H32" s="116" t="s">
        <v>482</v>
      </c>
      <c r="I32" s="176"/>
      <c r="J32" s="153"/>
      <c r="K32" s="153">
        <v>651.49</v>
      </c>
      <c r="L32" s="148"/>
      <c r="M32" s="154">
        <v>43424</v>
      </c>
      <c r="N32" s="183" t="s">
        <v>462</v>
      </c>
      <c r="O32" s="164"/>
      <c r="P32" s="297"/>
      <c r="Q32" s="164"/>
      <c r="R32" s="21"/>
      <c r="S32" s="179"/>
    </row>
    <row r="33" spans="2:19">
      <c r="B33" s="27" t="s">
        <v>426</v>
      </c>
      <c r="C33" s="27" t="s">
        <v>559</v>
      </c>
      <c r="D33" s="180">
        <v>2013</v>
      </c>
      <c r="E33" s="10">
        <v>42122</v>
      </c>
      <c r="F33" s="25">
        <v>678.6</v>
      </c>
      <c r="G33" s="144" t="s">
        <v>119</v>
      </c>
      <c r="H33" s="116" t="s">
        <v>482</v>
      </c>
      <c r="I33" s="176"/>
      <c r="J33" s="153"/>
      <c r="K33" s="153">
        <v>687</v>
      </c>
      <c r="L33" s="148"/>
      <c r="M33" s="154">
        <v>43424</v>
      </c>
      <c r="N33" s="183" t="s">
        <v>462</v>
      </c>
      <c r="O33" s="164"/>
      <c r="P33" s="297"/>
      <c r="Q33" s="164"/>
      <c r="R33" s="21"/>
      <c r="S33" s="179"/>
    </row>
    <row r="34" spans="2:19">
      <c r="B34" s="27" t="s">
        <v>426</v>
      </c>
      <c r="C34" s="27" t="s">
        <v>559</v>
      </c>
      <c r="D34" s="180">
        <v>2014</v>
      </c>
      <c r="E34" s="10">
        <v>42122</v>
      </c>
      <c r="F34" s="25">
        <v>718.3</v>
      </c>
      <c r="G34" s="144" t="s">
        <v>120</v>
      </c>
      <c r="H34" s="116" t="s">
        <v>482</v>
      </c>
      <c r="I34" s="176"/>
      <c r="J34" s="153"/>
      <c r="K34" s="153">
        <v>727.2</v>
      </c>
      <c r="L34" s="148"/>
      <c r="M34" s="154">
        <v>43424</v>
      </c>
      <c r="N34" s="183" t="s">
        <v>462</v>
      </c>
      <c r="O34" s="164"/>
      <c r="P34" s="299"/>
      <c r="Q34" s="39"/>
      <c r="R34" s="309"/>
      <c r="S34" s="179"/>
    </row>
    <row r="35" spans="2:19">
      <c r="B35" s="27" t="s">
        <v>426</v>
      </c>
      <c r="C35" s="27" t="s">
        <v>544</v>
      </c>
      <c r="D35" s="180">
        <v>2015</v>
      </c>
      <c r="E35" s="10">
        <v>42122</v>
      </c>
      <c r="F35" s="25">
        <v>280.20999999999998</v>
      </c>
      <c r="G35" s="144" t="s">
        <v>121</v>
      </c>
      <c r="H35" s="116" t="s">
        <v>482</v>
      </c>
      <c r="I35" s="176"/>
      <c r="J35" s="153"/>
      <c r="K35" s="153">
        <v>775.1</v>
      </c>
      <c r="L35" s="148"/>
      <c r="M35" s="154">
        <v>43424</v>
      </c>
      <c r="N35" s="183" t="s">
        <v>462</v>
      </c>
      <c r="O35" s="164">
        <f>71.65*10</f>
        <v>716.5</v>
      </c>
      <c r="P35" s="183" t="s">
        <v>553</v>
      </c>
      <c r="Q35" s="33"/>
      <c r="R35" s="202"/>
      <c r="S35" s="184"/>
    </row>
    <row r="36" spans="2:19">
      <c r="B36" s="27" t="s">
        <v>426</v>
      </c>
      <c r="C36" s="27" t="s">
        <v>545</v>
      </c>
      <c r="D36" s="180">
        <v>2015</v>
      </c>
      <c r="E36" s="10"/>
      <c r="F36" s="25"/>
      <c r="G36" s="144"/>
      <c r="H36" s="116"/>
      <c r="I36" s="176"/>
      <c r="J36" s="153"/>
      <c r="K36" s="153"/>
      <c r="L36" s="148"/>
      <c r="M36" s="154"/>
      <c r="N36" s="183"/>
      <c r="O36" s="164">
        <f>5.86*10</f>
        <v>58.6</v>
      </c>
      <c r="P36" s="183" t="s">
        <v>553</v>
      </c>
      <c r="Q36" s="33"/>
      <c r="R36" s="202"/>
      <c r="S36" s="179"/>
    </row>
    <row r="37" spans="2:19">
      <c r="B37" s="27" t="s">
        <v>426</v>
      </c>
      <c r="C37" s="27" t="s">
        <v>544</v>
      </c>
      <c r="D37" s="180">
        <v>2016</v>
      </c>
      <c r="E37" s="10"/>
      <c r="F37" s="25"/>
      <c r="G37" s="144"/>
      <c r="H37" s="116" t="s">
        <v>482</v>
      </c>
      <c r="I37" s="176"/>
      <c r="J37" s="153"/>
      <c r="K37" s="153">
        <v>851.5</v>
      </c>
      <c r="L37" s="148"/>
      <c r="M37" s="154">
        <v>43424</v>
      </c>
      <c r="N37" s="183" t="s">
        <v>462</v>
      </c>
      <c r="O37" s="164">
        <f>78.77*10</f>
        <v>787.69999999999993</v>
      </c>
      <c r="P37" s="183" t="s">
        <v>552</v>
      </c>
      <c r="Q37" s="33"/>
      <c r="R37" s="202"/>
      <c r="S37" s="179"/>
    </row>
    <row r="38" spans="2:19">
      <c r="B38" s="27" t="s">
        <v>426</v>
      </c>
      <c r="C38" s="27" t="s">
        <v>545</v>
      </c>
      <c r="D38" s="180">
        <v>2016</v>
      </c>
      <c r="E38" s="10"/>
      <c r="F38" s="25"/>
      <c r="G38" s="144"/>
      <c r="H38" s="116"/>
      <c r="I38" s="176"/>
      <c r="J38" s="153"/>
      <c r="K38" s="153"/>
      <c r="L38" s="148"/>
      <c r="M38" s="154"/>
      <c r="N38" s="183"/>
      <c r="O38" s="164">
        <f>6.38*10</f>
        <v>63.8</v>
      </c>
      <c r="P38" s="183" t="s">
        <v>552</v>
      </c>
      <c r="Q38" s="33"/>
      <c r="R38" s="202"/>
      <c r="S38" s="184"/>
    </row>
    <row r="39" spans="2:19">
      <c r="B39" s="27" t="s">
        <v>426</v>
      </c>
      <c r="C39" s="27" t="s">
        <v>544</v>
      </c>
      <c r="D39" s="180">
        <v>2017</v>
      </c>
      <c r="E39" s="10"/>
      <c r="F39" s="25"/>
      <c r="G39" s="144"/>
      <c r="H39" s="116" t="s">
        <v>482</v>
      </c>
      <c r="I39" s="176"/>
      <c r="J39" s="153"/>
      <c r="K39" s="153">
        <v>918.9</v>
      </c>
      <c r="L39" s="148"/>
      <c r="M39" s="154">
        <v>43424</v>
      </c>
      <c r="N39" s="183" t="s">
        <v>462</v>
      </c>
      <c r="O39" s="164">
        <f>84.96*10</f>
        <v>849.59999999999991</v>
      </c>
      <c r="P39" s="183" t="s">
        <v>551</v>
      </c>
      <c r="Q39" s="33"/>
      <c r="R39" s="202"/>
      <c r="S39" s="184"/>
    </row>
    <row r="40" spans="2:19">
      <c r="B40" s="27" t="s">
        <v>426</v>
      </c>
      <c r="C40" s="27" t="s">
        <v>545</v>
      </c>
      <c r="D40" s="180">
        <v>2017</v>
      </c>
      <c r="E40" s="10"/>
      <c r="F40" s="25"/>
      <c r="G40" s="144"/>
      <c r="H40" s="116"/>
      <c r="I40" s="176"/>
      <c r="J40" s="153"/>
      <c r="K40" s="153"/>
      <c r="L40" s="148"/>
      <c r="M40" s="154"/>
      <c r="N40" s="183"/>
      <c r="O40" s="164">
        <f>6.93*10</f>
        <v>69.3</v>
      </c>
      <c r="P40" s="183" t="s">
        <v>551</v>
      </c>
      <c r="Q40" s="33"/>
      <c r="R40" s="202"/>
      <c r="S40" s="184"/>
    </row>
    <row r="41" spans="2:19">
      <c r="B41" s="27" t="s">
        <v>426</v>
      </c>
      <c r="C41" s="27" t="s">
        <v>544</v>
      </c>
      <c r="D41" s="180">
        <v>2018</v>
      </c>
      <c r="E41" s="10"/>
      <c r="F41" s="25"/>
      <c r="G41" s="144"/>
      <c r="H41" s="116" t="s">
        <v>482</v>
      </c>
      <c r="I41" s="176"/>
      <c r="J41" s="153"/>
      <c r="K41" s="153">
        <v>941.89</v>
      </c>
      <c r="L41" s="148"/>
      <c r="M41" s="154">
        <v>43424</v>
      </c>
      <c r="N41" s="183" t="s">
        <v>462</v>
      </c>
      <c r="O41" s="164">
        <f>87.26*10</f>
        <v>872.6</v>
      </c>
      <c r="P41" s="183" t="s">
        <v>550</v>
      </c>
      <c r="Q41" s="33"/>
      <c r="R41" s="202"/>
      <c r="S41" s="184"/>
    </row>
    <row r="42" spans="2:19">
      <c r="B42" s="27" t="s">
        <v>426</v>
      </c>
      <c r="C42" s="27" t="s">
        <v>545</v>
      </c>
      <c r="D42" s="180">
        <v>2018</v>
      </c>
      <c r="E42" s="10"/>
      <c r="F42" s="25"/>
      <c r="G42" s="144"/>
      <c r="H42" s="116"/>
      <c r="I42" s="176"/>
      <c r="J42" s="153"/>
      <c r="K42" s="153"/>
      <c r="L42" s="148"/>
      <c r="M42" s="154"/>
      <c r="N42" s="183"/>
      <c r="O42" s="164">
        <f>6.93*9+6.92</f>
        <v>69.289999999999992</v>
      </c>
      <c r="P42" s="183" t="s">
        <v>550</v>
      </c>
      <c r="Q42" s="33"/>
      <c r="R42" s="202"/>
      <c r="S42" s="179"/>
    </row>
    <row r="43" spans="2:19">
      <c r="B43" s="27" t="s">
        <v>426</v>
      </c>
      <c r="C43" s="27" t="s">
        <v>544</v>
      </c>
      <c r="D43" s="180">
        <v>2019</v>
      </c>
      <c r="E43" s="10">
        <v>44389</v>
      </c>
      <c r="F43" s="25">
        <v>992.89</v>
      </c>
      <c r="G43" s="144" t="s">
        <v>535</v>
      </c>
      <c r="H43" s="116" t="s">
        <v>482</v>
      </c>
      <c r="I43" s="176"/>
      <c r="J43" s="153"/>
      <c r="K43" s="153"/>
      <c r="L43" s="148">
        <v>992.89</v>
      </c>
      <c r="M43" s="154">
        <v>44389</v>
      </c>
      <c r="N43" s="144" t="s">
        <v>535</v>
      </c>
      <c r="O43" s="25">
        <f>90.83*10</f>
        <v>908.3</v>
      </c>
      <c r="P43" s="183" t="s">
        <v>549</v>
      </c>
      <c r="Q43" s="33"/>
      <c r="R43" s="202"/>
      <c r="S43" s="179"/>
    </row>
    <row r="44" spans="2:19">
      <c r="B44" s="27" t="s">
        <v>426</v>
      </c>
      <c r="C44" s="27" t="s">
        <v>545</v>
      </c>
      <c r="D44" s="180">
        <v>2019</v>
      </c>
      <c r="E44" s="10"/>
      <c r="F44" s="25"/>
      <c r="G44" s="144"/>
      <c r="H44" s="116"/>
      <c r="I44" s="176"/>
      <c r="J44" s="153"/>
      <c r="K44" s="153"/>
      <c r="L44" s="148"/>
      <c r="M44" s="154"/>
      <c r="N44" s="144"/>
      <c r="O44" s="25">
        <f>8.46*9+8.45</f>
        <v>84.590000000000018</v>
      </c>
      <c r="P44" s="183" t="s">
        <v>549</v>
      </c>
      <c r="Q44" s="33"/>
      <c r="R44" s="202"/>
      <c r="S44" s="179"/>
    </row>
    <row r="45" spans="2:19">
      <c r="B45" s="27" t="s">
        <v>426</v>
      </c>
      <c r="C45" s="27" t="s">
        <v>544</v>
      </c>
      <c r="D45" s="180">
        <v>2020</v>
      </c>
      <c r="E45" s="10">
        <v>44389</v>
      </c>
      <c r="F45" s="25">
        <v>1027.4000000000001</v>
      </c>
      <c r="G45" s="144" t="s">
        <v>535</v>
      </c>
      <c r="H45" s="116" t="s">
        <v>482</v>
      </c>
      <c r="I45" s="176"/>
      <c r="J45" s="153"/>
      <c r="K45" s="153"/>
      <c r="L45" s="148">
        <v>1027.4000000000001</v>
      </c>
      <c r="M45" s="154">
        <v>44389</v>
      </c>
      <c r="N45" s="144" t="s">
        <v>535</v>
      </c>
      <c r="O45" s="25">
        <f>(93.46*9)+93.45</f>
        <v>934.59</v>
      </c>
      <c r="P45" s="183" t="s">
        <v>546</v>
      </c>
      <c r="Q45" s="33">
        <v>0</v>
      </c>
      <c r="R45" s="202" t="s">
        <v>569</v>
      </c>
      <c r="S45" s="179"/>
    </row>
    <row r="46" spans="2:19">
      <c r="B46" s="27" t="s">
        <v>426</v>
      </c>
      <c r="C46" s="27" t="s">
        <v>545</v>
      </c>
      <c r="D46" s="180">
        <v>2020</v>
      </c>
      <c r="E46" s="10"/>
      <c r="F46" s="25"/>
      <c r="G46" s="144"/>
      <c r="H46" s="116"/>
      <c r="I46" s="176"/>
      <c r="J46" s="153"/>
      <c r="K46" s="153"/>
      <c r="L46" s="148"/>
      <c r="M46" s="154"/>
      <c r="N46" s="144"/>
      <c r="O46" s="25">
        <f>9.28*9+9.29</f>
        <v>92.81</v>
      </c>
      <c r="P46" s="183" t="s">
        <v>546</v>
      </c>
      <c r="Q46" s="33">
        <v>0</v>
      </c>
      <c r="R46" s="202" t="s">
        <v>569</v>
      </c>
      <c r="S46" s="179"/>
    </row>
    <row r="47" spans="2:19">
      <c r="B47" s="21" t="s">
        <v>135</v>
      </c>
      <c r="C47" s="21" t="s">
        <v>135</v>
      </c>
      <c r="D47" s="9"/>
      <c r="E47" s="10">
        <v>41564</v>
      </c>
      <c r="F47" s="11">
        <f>60*500</f>
        <v>30000</v>
      </c>
      <c r="G47" s="118" t="s">
        <v>139</v>
      </c>
      <c r="H47" s="116" t="s">
        <v>482</v>
      </c>
      <c r="I47" s="119"/>
      <c r="J47" s="113"/>
      <c r="K47" s="113">
        <f>60*500</f>
        <v>30000</v>
      </c>
      <c r="L47" s="116"/>
      <c r="M47" s="25"/>
      <c r="N47" s="183" t="s">
        <v>457</v>
      </c>
      <c r="O47" s="113">
        <f>60*500</f>
        <v>30000</v>
      </c>
      <c r="P47" s="296" t="s">
        <v>526</v>
      </c>
      <c r="Q47" s="33">
        <v>0</v>
      </c>
      <c r="R47" s="202" t="s">
        <v>569</v>
      </c>
      <c r="S47" s="184"/>
    </row>
    <row r="48" spans="2:19">
      <c r="B48" s="21" t="s">
        <v>424</v>
      </c>
      <c r="C48" s="21"/>
      <c r="D48" s="9"/>
      <c r="E48" s="10"/>
      <c r="F48" s="11"/>
      <c r="G48" s="118"/>
      <c r="H48" s="116" t="s">
        <v>455</v>
      </c>
      <c r="I48" s="176">
        <v>83486</v>
      </c>
      <c r="J48" s="153">
        <f>I48/1000*2.75</f>
        <v>229.5865</v>
      </c>
      <c r="K48" s="153">
        <v>3607.77</v>
      </c>
      <c r="L48" s="148"/>
      <c r="M48" s="154">
        <v>32994</v>
      </c>
      <c r="N48" s="185" t="s">
        <v>481</v>
      </c>
      <c r="O48" s="153">
        <v>3607.77</v>
      </c>
      <c r="P48" s="300" t="s">
        <v>523</v>
      </c>
      <c r="Q48" s="33">
        <v>0</v>
      </c>
      <c r="R48" s="202" t="s">
        <v>569</v>
      </c>
      <c r="S48" s="179" t="s">
        <v>463</v>
      </c>
    </row>
    <row r="49" spans="2:19">
      <c r="B49" s="21" t="s">
        <v>424</v>
      </c>
      <c r="C49" s="21"/>
      <c r="D49" s="9"/>
      <c r="E49" s="10"/>
      <c r="F49" s="11"/>
      <c r="G49" s="118"/>
      <c r="H49" s="116" t="s">
        <v>455</v>
      </c>
      <c r="I49" s="176">
        <v>83486</v>
      </c>
      <c r="J49" s="153">
        <f>I49/1000*2.75</f>
        <v>229.5865</v>
      </c>
      <c r="K49" s="153">
        <v>3606.98</v>
      </c>
      <c r="L49" s="148"/>
      <c r="M49" s="154">
        <v>32994</v>
      </c>
      <c r="N49" s="185" t="s">
        <v>481</v>
      </c>
      <c r="O49" s="153">
        <v>3606.98</v>
      </c>
      <c r="P49" s="300" t="s">
        <v>523</v>
      </c>
      <c r="Q49" s="33">
        <v>0</v>
      </c>
      <c r="R49" s="202" t="s">
        <v>569</v>
      </c>
      <c r="S49" s="179" t="s">
        <v>464</v>
      </c>
    </row>
    <row r="50" spans="2:19">
      <c r="B50" s="21" t="s">
        <v>424</v>
      </c>
      <c r="C50" s="21"/>
      <c r="D50" s="9"/>
      <c r="E50" s="10"/>
      <c r="F50" s="11"/>
      <c r="G50" s="118"/>
      <c r="H50" s="116" t="s">
        <v>456</v>
      </c>
      <c r="I50" s="176">
        <v>8910</v>
      </c>
      <c r="J50" s="153">
        <f>I50/1000*1000*2.75</f>
        <v>24502.5</v>
      </c>
      <c r="K50" s="153">
        <v>2722.65</v>
      </c>
      <c r="L50" s="148"/>
      <c r="M50" s="154">
        <v>32843</v>
      </c>
      <c r="N50" s="185" t="s">
        <v>481</v>
      </c>
      <c r="O50" s="153">
        <v>2722.65</v>
      </c>
      <c r="P50" s="300" t="s">
        <v>523</v>
      </c>
      <c r="Q50" s="33">
        <v>0</v>
      </c>
      <c r="R50" s="202" t="s">
        <v>569</v>
      </c>
      <c r="S50" s="179" t="s">
        <v>465</v>
      </c>
    </row>
    <row r="51" spans="2:19">
      <c r="B51" s="21" t="s">
        <v>424</v>
      </c>
      <c r="C51" s="21"/>
      <c r="D51" s="9"/>
      <c r="E51" s="10"/>
      <c r="F51" s="11"/>
      <c r="G51" s="118"/>
      <c r="H51" s="116" t="s">
        <v>456</v>
      </c>
      <c r="I51" s="186">
        <v>2218.15</v>
      </c>
      <c r="J51" s="153">
        <f>I51/1000*1000*2.75</f>
        <v>6099.9125000000004</v>
      </c>
      <c r="K51" s="153">
        <v>908.7</v>
      </c>
      <c r="L51" s="148"/>
      <c r="M51" s="154">
        <v>32813</v>
      </c>
      <c r="N51" s="185" t="s">
        <v>481</v>
      </c>
      <c r="O51" s="153">
        <v>908.7</v>
      </c>
      <c r="P51" s="300" t="s">
        <v>523</v>
      </c>
      <c r="Q51" s="33">
        <v>0</v>
      </c>
      <c r="R51" s="202" t="s">
        <v>569</v>
      </c>
      <c r="S51" s="179" t="s">
        <v>466</v>
      </c>
    </row>
    <row r="52" spans="2:19">
      <c r="B52" s="21" t="s">
        <v>424</v>
      </c>
      <c r="C52" s="21"/>
      <c r="D52" s="9"/>
      <c r="E52" s="10"/>
      <c r="F52" s="11"/>
      <c r="G52" s="118"/>
      <c r="H52" s="116" t="s">
        <v>456</v>
      </c>
      <c r="I52" s="186">
        <v>3323.45</v>
      </c>
      <c r="J52" s="153">
        <f>I52/1000*1000*2.75</f>
        <v>9139.4874999999993</v>
      </c>
      <c r="K52" s="153">
        <v>1299.8</v>
      </c>
      <c r="L52" s="148"/>
      <c r="M52" s="154">
        <v>32813</v>
      </c>
      <c r="N52" s="185" t="s">
        <v>481</v>
      </c>
      <c r="O52" s="153">
        <v>1299.8</v>
      </c>
      <c r="P52" s="300" t="s">
        <v>523</v>
      </c>
      <c r="Q52" s="33">
        <v>0</v>
      </c>
      <c r="R52" s="202" t="s">
        <v>569</v>
      </c>
      <c r="S52" s="179" t="s">
        <v>467</v>
      </c>
    </row>
    <row r="53" spans="2:19">
      <c r="B53" s="21" t="s">
        <v>424</v>
      </c>
      <c r="C53" s="21"/>
      <c r="D53" s="9"/>
      <c r="E53" s="10"/>
      <c r="F53" s="11"/>
      <c r="G53" s="118"/>
      <c r="H53" s="116" t="s">
        <v>455</v>
      </c>
      <c r="I53" s="186">
        <v>89127.8</v>
      </c>
      <c r="J53" s="153">
        <f>I53/1000*2.75</f>
        <v>245.10145000000003</v>
      </c>
      <c r="K53" s="153">
        <v>3597.66</v>
      </c>
      <c r="L53" s="148"/>
      <c r="M53" s="154">
        <v>33055</v>
      </c>
      <c r="N53" s="185" t="s">
        <v>481</v>
      </c>
      <c r="O53" s="153">
        <v>3597.66</v>
      </c>
      <c r="P53" s="300" t="s">
        <v>523</v>
      </c>
      <c r="Q53" s="33">
        <v>0</v>
      </c>
      <c r="R53" s="202" t="s">
        <v>569</v>
      </c>
      <c r="S53" s="179" t="s">
        <v>468</v>
      </c>
    </row>
    <row r="54" spans="2:19">
      <c r="B54" s="243" t="s">
        <v>424</v>
      </c>
      <c r="C54" s="243"/>
      <c r="D54" s="244"/>
      <c r="E54" s="245"/>
      <c r="F54" s="246"/>
      <c r="G54" s="247"/>
      <c r="H54" s="248" t="s">
        <v>455</v>
      </c>
      <c r="I54" s="249">
        <v>112031.75</v>
      </c>
      <c r="J54" s="250">
        <f t="shared" ref="J54:J65" si="0">I54/1000*2.75</f>
        <v>308.0873125</v>
      </c>
      <c r="K54" s="250">
        <v>4123.29</v>
      </c>
      <c r="L54" s="251"/>
      <c r="M54" s="252">
        <v>33086</v>
      </c>
      <c r="N54" s="253" t="s">
        <v>481</v>
      </c>
      <c r="O54" s="250">
        <v>4123.29</v>
      </c>
      <c r="P54" s="301" t="s">
        <v>523</v>
      </c>
      <c r="Q54" s="33">
        <v>0</v>
      </c>
      <c r="R54" s="254" t="s">
        <v>597</v>
      </c>
      <c r="S54" s="255" t="s">
        <v>469</v>
      </c>
    </row>
    <row r="55" spans="2:19">
      <c r="B55" s="243" t="s">
        <v>424</v>
      </c>
      <c r="C55" s="243"/>
      <c r="D55" s="244"/>
      <c r="E55" s="245"/>
      <c r="F55" s="246"/>
      <c r="G55" s="247"/>
      <c r="H55" s="248" t="s">
        <v>455</v>
      </c>
      <c r="I55" s="249">
        <v>1268620</v>
      </c>
      <c r="J55" s="250">
        <f t="shared" si="0"/>
        <v>3488.7049999999999</v>
      </c>
      <c r="K55" s="250">
        <v>14728.18</v>
      </c>
      <c r="L55" s="251"/>
      <c r="M55" s="252">
        <v>33420</v>
      </c>
      <c r="N55" s="253" t="s">
        <v>481</v>
      </c>
      <c r="O55" s="250">
        <v>14728.18</v>
      </c>
      <c r="P55" s="301" t="s">
        <v>523</v>
      </c>
      <c r="Q55" s="33">
        <v>0</v>
      </c>
      <c r="R55" s="202" t="s">
        <v>569</v>
      </c>
      <c r="S55" s="255" t="s">
        <v>470</v>
      </c>
    </row>
    <row r="56" spans="2:19">
      <c r="B56" s="243" t="s">
        <v>424</v>
      </c>
      <c r="C56" s="243"/>
      <c r="D56" s="244"/>
      <c r="E56" s="245"/>
      <c r="F56" s="246"/>
      <c r="G56" s="247"/>
      <c r="H56" s="248" t="s">
        <v>455</v>
      </c>
      <c r="I56" s="249">
        <v>44563.9</v>
      </c>
      <c r="J56" s="250">
        <f t="shared" si="0"/>
        <v>122.55072500000001</v>
      </c>
      <c r="K56" s="250">
        <v>1798.81</v>
      </c>
      <c r="L56" s="251"/>
      <c r="M56" s="252">
        <v>33055</v>
      </c>
      <c r="N56" s="253" t="s">
        <v>481</v>
      </c>
      <c r="O56" s="250">
        <v>1798.81</v>
      </c>
      <c r="P56" s="301" t="s">
        <v>523</v>
      </c>
      <c r="Q56" s="33">
        <v>0</v>
      </c>
      <c r="R56" s="202" t="s">
        <v>569</v>
      </c>
      <c r="S56" s="255" t="s">
        <v>471</v>
      </c>
    </row>
    <row r="57" spans="2:19">
      <c r="B57" s="243" t="s">
        <v>424</v>
      </c>
      <c r="C57" s="243"/>
      <c r="D57" s="244"/>
      <c r="E57" s="245"/>
      <c r="F57" s="246"/>
      <c r="G57" s="247"/>
      <c r="H57" s="248" t="s">
        <v>455</v>
      </c>
      <c r="I57" s="249">
        <v>142507.5</v>
      </c>
      <c r="J57" s="250">
        <f t="shared" si="0"/>
        <v>391.895625</v>
      </c>
      <c r="K57" s="250">
        <v>4854.78</v>
      </c>
      <c r="L57" s="251"/>
      <c r="M57" s="252">
        <v>33086</v>
      </c>
      <c r="N57" s="253" t="s">
        <v>481</v>
      </c>
      <c r="O57" s="250">
        <v>4854.78</v>
      </c>
      <c r="P57" s="301" t="s">
        <v>523</v>
      </c>
      <c r="Q57" s="33">
        <v>0</v>
      </c>
      <c r="R57" s="202" t="s">
        <v>569</v>
      </c>
      <c r="S57" s="255" t="s">
        <v>472</v>
      </c>
    </row>
    <row r="58" spans="2:19">
      <c r="B58" s="21" t="s">
        <v>424</v>
      </c>
      <c r="C58" s="21"/>
      <c r="D58" s="9"/>
      <c r="E58" s="10"/>
      <c r="F58" s="11"/>
      <c r="G58" s="118"/>
      <c r="H58" s="116" t="s">
        <v>455</v>
      </c>
      <c r="I58" s="186">
        <v>244063.5</v>
      </c>
      <c r="J58" s="153">
        <f t="shared" si="0"/>
        <v>671.17462499999999</v>
      </c>
      <c r="K58" s="153">
        <v>8982.68</v>
      </c>
      <c r="L58" s="148"/>
      <c r="M58" s="154">
        <v>33086</v>
      </c>
      <c r="N58" s="185" t="s">
        <v>481</v>
      </c>
      <c r="O58" s="153">
        <v>8982.68</v>
      </c>
      <c r="P58" s="300" t="s">
        <v>523</v>
      </c>
      <c r="Q58" s="33">
        <v>0</v>
      </c>
      <c r="R58" s="202" t="s">
        <v>569</v>
      </c>
      <c r="S58" s="179" t="s">
        <v>473</v>
      </c>
    </row>
    <row r="59" spans="2:19">
      <c r="B59" s="21" t="s">
        <v>424</v>
      </c>
      <c r="C59" s="21"/>
      <c r="D59" s="9"/>
      <c r="E59" s="10"/>
      <c r="F59" s="11"/>
      <c r="G59" s="118"/>
      <c r="H59" s="116" t="s">
        <v>456</v>
      </c>
      <c r="I59" s="186">
        <v>3323.45</v>
      </c>
      <c r="J59" s="153">
        <f t="shared" si="0"/>
        <v>9.1394874999999995</v>
      </c>
      <c r="K59" s="153">
        <v>1299.8</v>
      </c>
      <c r="L59" s="148"/>
      <c r="M59" s="154">
        <v>32813</v>
      </c>
      <c r="N59" s="185" t="s">
        <v>481</v>
      </c>
      <c r="O59" s="153">
        <v>1299.8</v>
      </c>
      <c r="P59" s="300" t="s">
        <v>523</v>
      </c>
      <c r="Q59" s="33">
        <v>0</v>
      </c>
      <c r="R59" s="202" t="s">
        <v>569</v>
      </c>
      <c r="S59" s="179" t="s">
        <v>474</v>
      </c>
    </row>
    <row r="60" spans="2:19">
      <c r="B60" s="243" t="s">
        <v>424</v>
      </c>
      <c r="C60" s="243"/>
      <c r="D60" s="244"/>
      <c r="E60" s="245"/>
      <c r="F60" s="246"/>
      <c r="G60" s="247"/>
      <c r="H60" s="248" t="s">
        <v>455</v>
      </c>
      <c r="I60" s="249">
        <v>66845.850000000006</v>
      </c>
      <c r="J60" s="250">
        <f t="shared" si="0"/>
        <v>183.82608750000003</v>
      </c>
      <c r="K60" s="250">
        <v>2698.77</v>
      </c>
      <c r="L60" s="251"/>
      <c r="M60" s="252">
        <v>33055</v>
      </c>
      <c r="N60" s="253" t="s">
        <v>481</v>
      </c>
      <c r="O60" s="250">
        <v>2698.77</v>
      </c>
      <c r="P60" s="301" t="s">
        <v>523</v>
      </c>
      <c r="Q60" s="33">
        <v>0</v>
      </c>
      <c r="R60" s="202" t="s">
        <v>569</v>
      </c>
      <c r="S60" s="255" t="s">
        <v>475</v>
      </c>
    </row>
    <row r="61" spans="2:19">
      <c r="B61" s="243" t="s">
        <v>424</v>
      </c>
      <c r="C61" s="243"/>
      <c r="D61" s="244"/>
      <c r="E61" s="245"/>
      <c r="F61" s="246"/>
      <c r="G61" s="247"/>
      <c r="H61" s="248" t="s">
        <v>455</v>
      </c>
      <c r="I61" s="256">
        <v>84439.2</v>
      </c>
      <c r="J61" s="250">
        <f t="shared" si="0"/>
        <v>232.20779999999999</v>
      </c>
      <c r="K61" s="250">
        <v>3602.34</v>
      </c>
      <c r="L61" s="251"/>
      <c r="M61" s="252">
        <v>33025</v>
      </c>
      <c r="N61" s="253" t="s">
        <v>481</v>
      </c>
      <c r="O61" s="250">
        <v>3602.34</v>
      </c>
      <c r="P61" s="301" t="s">
        <v>523</v>
      </c>
      <c r="Q61" s="33">
        <v>0</v>
      </c>
      <c r="R61" s="202" t="s">
        <v>569</v>
      </c>
      <c r="S61" s="255" t="s">
        <v>476</v>
      </c>
    </row>
    <row r="62" spans="2:19">
      <c r="B62" s="21" t="s">
        <v>424</v>
      </c>
      <c r="C62" s="21"/>
      <c r="D62" s="9"/>
      <c r="E62" s="10"/>
      <c r="F62" s="11"/>
      <c r="G62" s="118"/>
      <c r="H62" s="116" t="s">
        <v>455</v>
      </c>
      <c r="I62" s="186">
        <v>634310</v>
      </c>
      <c r="J62" s="153">
        <f t="shared" si="0"/>
        <v>1744.3525</v>
      </c>
      <c r="K62" s="153">
        <v>7007.37</v>
      </c>
      <c r="L62" s="148"/>
      <c r="M62" s="154">
        <v>33451</v>
      </c>
      <c r="N62" s="185" t="s">
        <v>481</v>
      </c>
      <c r="O62" s="153">
        <v>7007.37</v>
      </c>
      <c r="P62" s="300" t="s">
        <v>523</v>
      </c>
      <c r="Q62" s="33">
        <v>0</v>
      </c>
      <c r="R62" s="202" t="s">
        <v>569</v>
      </c>
      <c r="S62" s="179" t="s">
        <v>477</v>
      </c>
    </row>
    <row r="63" spans="2:19">
      <c r="B63" s="21" t="s">
        <v>424</v>
      </c>
      <c r="C63" s="21"/>
      <c r="D63" s="9"/>
      <c r="E63" s="10"/>
      <c r="F63" s="11"/>
      <c r="G63" s="118"/>
      <c r="H63" s="116" t="s">
        <v>455</v>
      </c>
      <c r="I63" s="186">
        <v>202597.85</v>
      </c>
      <c r="J63" s="153">
        <f t="shared" si="0"/>
        <v>557.14408749999996</v>
      </c>
      <c r="K63" s="153">
        <v>6279.72</v>
      </c>
      <c r="L63" s="148"/>
      <c r="M63" s="154">
        <v>33117</v>
      </c>
      <c r="N63" s="185" t="s">
        <v>481</v>
      </c>
      <c r="O63" s="153">
        <v>6279.72</v>
      </c>
      <c r="P63" s="300" t="s">
        <v>523</v>
      </c>
      <c r="Q63" s="33">
        <v>0</v>
      </c>
      <c r="R63" s="202" t="s">
        <v>569</v>
      </c>
      <c r="S63" s="179" t="s">
        <v>478</v>
      </c>
    </row>
    <row r="64" spans="2:19">
      <c r="B64" s="21" t="s">
        <v>424</v>
      </c>
      <c r="C64" s="21"/>
      <c r="D64" s="9"/>
      <c r="E64" s="10"/>
      <c r="F64" s="11"/>
      <c r="G64" s="118"/>
      <c r="H64" s="116" t="s">
        <v>455</v>
      </c>
      <c r="I64" s="186">
        <v>84439.2</v>
      </c>
      <c r="J64" s="153">
        <f t="shared" si="0"/>
        <v>232.20779999999999</v>
      </c>
      <c r="K64" s="153">
        <v>3602.34</v>
      </c>
      <c r="L64" s="148"/>
      <c r="M64" s="154">
        <v>33025</v>
      </c>
      <c r="N64" s="185" t="s">
        <v>481</v>
      </c>
      <c r="O64" s="153">
        <v>3602.34</v>
      </c>
      <c r="P64" s="300" t="s">
        <v>523</v>
      </c>
      <c r="Q64" s="33">
        <v>0</v>
      </c>
      <c r="R64" s="202" t="s">
        <v>569</v>
      </c>
      <c r="S64" s="179" t="s">
        <v>479</v>
      </c>
    </row>
    <row r="65" spans="2:20">
      <c r="B65" s="21" t="s">
        <v>424</v>
      </c>
      <c r="C65" s="21"/>
      <c r="D65" s="9"/>
      <c r="E65" s="10"/>
      <c r="F65" s="11"/>
      <c r="G65" s="118"/>
      <c r="H65" s="116" t="s">
        <v>455</v>
      </c>
      <c r="I65" s="186">
        <v>82777.600000000006</v>
      </c>
      <c r="J65" s="153">
        <f t="shared" si="0"/>
        <v>227.63840000000002</v>
      </c>
      <c r="K65" s="153">
        <v>3577.14</v>
      </c>
      <c r="L65" s="148"/>
      <c r="M65" s="154">
        <v>32994</v>
      </c>
      <c r="N65" s="185" t="s">
        <v>481</v>
      </c>
      <c r="O65" s="153">
        <v>3577.14</v>
      </c>
      <c r="P65" s="300" t="s">
        <v>523</v>
      </c>
      <c r="Q65" s="33">
        <v>0</v>
      </c>
      <c r="R65" s="202" t="s">
        <v>569</v>
      </c>
      <c r="S65" s="179" t="s">
        <v>480</v>
      </c>
    </row>
    <row r="66" spans="2:20">
      <c r="B66" s="21" t="s">
        <v>508</v>
      </c>
      <c r="C66" s="21"/>
      <c r="D66" s="9" t="s">
        <v>511</v>
      </c>
      <c r="E66" s="27" t="s">
        <v>512</v>
      </c>
      <c r="F66" s="11"/>
      <c r="G66" s="158"/>
      <c r="H66" s="116" t="s">
        <v>482</v>
      </c>
      <c r="I66" s="186"/>
      <c r="J66" s="188"/>
      <c r="K66" s="188">
        <v>138.35</v>
      </c>
      <c r="L66" s="189"/>
      <c r="M66" s="154"/>
      <c r="N66" s="231" t="s">
        <v>507</v>
      </c>
      <c r="O66" s="164"/>
      <c r="P66" s="302"/>
      <c r="Q66" s="33">
        <v>0</v>
      </c>
      <c r="R66" s="21"/>
      <c r="S66" s="179"/>
    </row>
    <row r="67" spans="2:20">
      <c r="B67" s="165" t="s">
        <v>508</v>
      </c>
      <c r="C67" s="165"/>
      <c r="D67" s="175" t="s">
        <v>515</v>
      </c>
      <c r="E67" s="27" t="s">
        <v>513</v>
      </c>
      <c r="F67" s="11"/>
      <c r="G67" s="118"/>
      <c r="H67" s="116" t="s">
        <v>482</v>
      </c>
      <c r="I67" s="186"/>
      <c r="J67" s="188"/>
      <c r="K67" s="188">
        <v>205.77</v>
      </c>
      <c r="L67" s="189"/>
      <c r="M67" s="154"/>
      <c r="N67" s="231" t="s">
        <v>514</v>
      </c>
      <c r="O67" s="33"/>
      <c r="P67" s="302"/>
      <c r="Q67" s="33">
        <v>0</v>
      </c>
      <c r="R67" s="202"/>
      <c r="S67" s="179"/>
    </row>
    <row r="68" spans="2:20">
      <c r="B68" s="165" t="s">
        <v>508</v>
      </c>
      <c r="C68" s="27"/>
      <c r="D68" s="175"/>
      <c r="E68" s="27"/>
      <c r="F68" s="11"/>
      <c r="G68" s="175"/>
      <c r="H68" s="232"/>
      <c r="I68" s="186"/>
      <c r="J68" s="188"/>
      <c r="K68" s="188"/>
      <c r="L68" s="189"/>
      <c r="M68" s="154"/>
      <c r="N68" s="231"/>
      <c r="O68" s="164">
        <v>1689.96</v>
      </c>
      <c r="P68" s="183" t="s">
        <v>568</v>
      </c>
      <c r="Q68" s="33">
        <v>0</v>
      </c>
      <c r="R68" s="202"/>
      <c r="S68" s="308" t="s">
        <v>567</v>
      </c>
      <c r="T68" s="158"/>
    </row>
    <row r="69" spans="2:20">
      <c r="B69" s="278" t="s">
        <v>425</v>
      </c>
      <c r="C69" s="278" t="s">
        <v>65</v>
      </c>
      <c r="D69" s="278"/>
      <c r="E69" s="279">
        <v>1101000387</v>
      </c>
      <c r="F69" s="280"/>
      <c r="G69" s="289"/>
      <c r="H69" s="290"/>
      <c r="I69" s="282"/>
      <c r="J69" s="283"/>
      <c r="K69" s="283"/>
      <c r="L69" s="284"/>
      <c r="M69" s="285"/>
      <c r="N69" s="286"/>
      <c r="O69" s="291">
        <v>0</v>
      </c>
      <c r="P69" s="303" t="s">
        <v>584</v>
      </c>
      <c r="Q69" s="287"/>
      <c r="R69" s="310"/>
      <c r="S69" s="288" t="s">
        <v>585</v>
      </c>
    </row>
    <row r="70" spans="2:20">
      <c r="B70" s="191" t="s">
        <v>425</v>
      </c>
      <c r="C70" s="191" t="s">
        <v>65</v>
      </c>
      <c r="D70" s="191"/>
      <c r="E70" s="235">
        <v>1101005491</v>
      </c>
      <c r="F70" s="193"/>
      <c r="G70" s="234"/>
      <c r="H70" s="233"/>
      <c r="I70" s="194"/>
      <c r="J70" s="195"/>
      <c r="K70" s="195"/>
      <c r="L70" s="196"/>
      <c r="M70" s="197"/>
      <c r="N70" s="198"/>
      <c r="O70" s="206">
        <v>282.94</v>
      </c>
      <c r="P70" s="304" t="s">
        <v>560</v>
      </c>
      <c r="Q70" s="329"/>
      <c r="R70" s="311"/>
      <c r="S70" s="192"/>
    </row>
    <row r="71" spans="2:20">
      <c r="B71" s="278" t="s">
        <v>425</v>
      </c>
      <c r="C71" s="278" t="s">
        <v>65</v>
      </c>
      <c r="D71" s="279"/>
      <c r="E71" s="278" t="s">
        <v>563</v>
      </c>
      <c r="F71" s="280"/>
      <c r="G71" s="277"/>
      <c r="H71" s="281"/>
      <c r="I71" s="282"/>
      <c r="J71" s="283"/>
      <c r="K71" s="283"/>
      <c r="L71" s="284"/>
      <c r="M71" s="285"/>
      <c r="N71" s="286"/>
      <c r="O71" s="287">
        <f>34738696.94-O70-O69</f>
        <v>34738414</v>
      </c>
      <c r="P71" s="303" t="s">
        <v>560</v>
      </c>
      <c r="Q71" s="287"/>
      <c r="R71" s="310"/>
      <c r="S71" s="288"/>
    </row>
    <row r="72" spans="2:20">
      <c r="B72" s="28"/>
      <c r="C72" s="28"/>
      <c r="D72" s="12"/>
      <c r="E72" s="6"/>
      <c r="F72" s="11"/>
      <c r="G72" s="118"/>
      <c r="H72" s="116"/>
      <c r="I72" s="120"/>
      <c r="J72" s="114"/>
      <c r="K72" s="114"/>
      <c r="L72" s="117"/>
      <c r="M72" s="34"/>
      <c r="N72" s="106"/>
      <c r="O72" s="136"/>
      <c r="P72" s="305"/>
      <c r="Q72" s="136"/>
      <c r="R72" s="298"/>
      <c r="S72" s="98"/>
    </row>
    <row r="73" spans="2:20">
      <c r="B73" s="28"/>
      <c r="C73" s="28"/>
      <c r="D73" s="12"/>
      <c r="E73" s="6"/>
      <c r="F73" s="11"/>
      <c r="G73" s="118"/>
      <c r="H73" s="116"/>
      <c r="I73" s="120"/>
      <c r="J73" s="114"/>
      <c r="K73" s="114"/>
      <c r="L73" s="117"/>
      <c r="M73" s="34"/>
      <c r="N73" s="106"/>
      <c r="O73" s="136"/>
      <c r="P73" s="305"/>
      <c r="Q73" s="136"/>
      <c r="R73" s="298"/>
      <c r="S73" s="98"/>
    </row>
    <row r="74" spans="2:20">
      <c r="B74" s="28"/>
      <c r="C74" s="28"/>
      <c r="D74" s="12"/>
      <c r="E74" s="6"/>
      <c r="F74" s="11"/>
      <c r="G74" s="118"/>
      <c r="H74" s="116"/>
      <c r="I74" s="120"/>
      <c r="J74" s="114"/>
      <c r="K74" s="114"/>
      <c r="L74" s="117"/>
      <c r="M74" s="34"/>
      <c r="N74" s="106"/>
      <c r="O74" s="136"/>
      <c r="P74" s="305"/>
      <c r="Q74" s="136"/>
      <c r="R74" s="298"/>
      <c r="S74" s="98"/>
    </row>
    <row r="75" spans="2:20">
      <c r="B75" s="28"/>
      <c r="C75" s="28"/>
      <c r="D75" s="12"/>
      <c r="E75" s="6"/>
      <c r="F75" s="11"/>
      <c r="G75" s="118"/>
      <c r="H75" s="116"/>
      <c r="I75" s="120"/>
      <c r="J75" s="114"/>
      <c r="K75" s="114"/>
      <c r="L75" s="117"/>
      <c r="M75" s="34"/>
      <c r="N75" s="106"/>
      <c r="O75" s="136"/>
      <c r="P75" s="305"/>
      <c r="Q75" s="136"/>
      <c r="R75" s="298"/>
      <c r="S75" s="98"/>
    </row>
    <row r="76" spans="2:20">
      <c r="B76" s="28"/>
      <c r="C76" s="28"/>
      <c r="D76" s="12"/>
      <c r="E76" s="6"/>
      <c r="F76" s="11"/>
      <c r="G76" s="118"/>
      <c r="H76" s="116"/>
      <c r="I76" s="120"/>
      <c r="J76" s="114"/>
      <c r="K76" s="114"/>
      <c r="L76" s="117"/>
      <c r="M76" s="34"/>
      <c r="N76" s="106"/>
      <c r="O76" s="136"/>
      <c r="P76" s="305"/>
      <c r="Q76" s="136"/>
      <c r="R76" s="298"/>
      <c r="S76" s="98"/>
    </row>
    <row r="77" spans="2:20">
      <c r="B77" s="28"/>
      <c r="C77" s="28"/>
      <c r="D77" s="12"/>
      <c r="E77" s="6"/>
      <c r="F77" s="11"/>
      <c r="G77" s="118"/>
      <c r="H77" s="116"/>
      <c r="I77" s="120"/>
      <c r="J77" s="114"/>
      <c r="K77" s="114"/>
      <c r="L77" s="117"/>
      <c r="M77" s="34"/>
      <c r="N77" s="106"/>
      <c r="O77" s="136"/>
      <c r="P77" s="305"/>
      <c r="Q77" s="136"/>
      <c r="R77" s="298"/>
      <c r="S77" s="98"/>
    </row>
    <row r="78" spans="2:20">
      <c r="B78" s="28"/>
      <c r="C78" s="28"/>
      <c r="D78" s="12"/>
      <c r="E78" s="6"/>
      <c r="F78" s="11"/>
      <c r="G78" s="118"/>
      <c r="H78" s="116"/>
      <c r="I78" s="120"/>
      <c r="J78" s="114"/>
      <c r="K78" s="114"/>
      <c r="L78" s="117"/>
      <c r="M78" s="34"/>
      <c r="N78" s="106"/>
      <c r="O78" s="136"/>
      <c r="P78" s="305"/>
      <c r="Q78" s="136"/>
      <c r="R78" s="298"/>
      <c r="S78" s="98"/>
    </row>
    <row r="79" spans="2:20">
      <c r="B79" s="28"/>
      <c r="C79" s="28"/>
      <c r="D79" s="12"/>
      <c r="E79" s="6"/>
      <c r="F79" s="11"/>
      <c r="G79" s="118"/>
      <c r="H79" s="116"/>
      <c r="I79" s="120"/>
      <c r="J79" s="114"/>
      <c r="K79" s="114"/>
      <c r="L79" s="117"/>
      <c r="M79" s="34"/>
      <c r="N79" s="106"/>
      <c r="O79" s="136"/>
      <c r="P79" s="305"/>
      <c r="Q79" s="136"/>
      <c r="R79" s="298"/>
      <c r="S79" s="98"/>
    </row>
    <row r="80" spans="2:20">
      <c r="B80" s="28"/>
      <c r="C80" s="28"/>
      <c r="D80" s="12"/>
      <c r="E80" s="6"/>
      <c r="F80" s="11"/>
      <c r="G80" s="118"/>
      <c r="H80" s="116"/>
      <c r="I80" s="120"/>
      <c r="J80" s="114"/>
      <c r="K80" s="114"/>
      <c r="L80" s="117"/>
      <c r="M80" s="34"/>
      <c r="N80" s="106"/>
      <c r="O80" s="136"/>
      <c r="P80" s="305"/>
      <c r="Q80" s="136"/>
      <c r="R80" s="298"/>
      <c r="S80" s="98"/>
    </row>
    <row r="81" spans="2:27">
      <c r="B81" s="28"/>
      <c r="C81" s="28"/>
      <c r="D81" s="12"/>
      <c r="E81" s="6"/>
      <c r="F81" s="11"/>
      <c r="G81" s="118"/>
      <c r="H81" s="116"/>
      <c r="I81" s="120"/>
      <c r="J81" s="114"/>
      <c r="K81" s="114"/>
      <c r="L81" s="117"/>
      <c r="M81" s="34"/>
      <c r="N81" s="106"/>
      <c r="O81" s="136"/>
      <c r="P81" s="305"/>
      <c r="Q81" s="136"/>
      <c r="R81" s="298"/>
      <c r="S81" s="98"/>
    </row>
    <row r="82" spans="2:27">
      <c r="B82" s="21"/>
      <c r="C82" s="21"/>
      <c r="D82" s="9"/>
      <c r="E82" s="10"/>
      <c r="F82" s="11"/>
      <c r="G82" s="118"/>
      <c r="H82" s="116"/>
      <c r="I82" s="115"/>
      <c r="J82" s="111"/>
      <c r="K82" s="111"/>
      <c r="L82" s="100"/>
      <c r="M82" s="34"/>
      <c r="N82" s="130"/>
      <c r="O82" s="7"/>
      <c r="P82" s="306"/>
      <c r="Q82" s="7"/>
      <c r="R82" s="34"/>
      <c r="S82" s="98"/>
    </row>
    <row r="83" spans="2:27" ht="13.5" thickBot="1">
      <c r="B83" s="32" t="s">
        <v>64</v>
      </c>
      <c r="C83" s="32"/>
      <c r="D83" s="32"/>
      <c r="E83" s="32"/>
      <c r="F83" s="123">
        <f>SUM(F9:F47)</f>
        <v>44122.069999999992</v>
      </c>
      <c r="G83" s="124"/>
      <c r="H83" s="137"/>
      <c r="I83" s="138">
        <f>SUM(I9:I82)</f>
        <v>3241071.2</v>
      </c>
      <c r="J83" s="125">
        <f>SUM(J9:J82)</f>
        <v>48615.103899999995</v>
      </c>
      <c r="K83" s="125">
        <f>SUM(K9:K82)</f>
        <v>116526.03</v>
      </c>
      <c r="L83" s="112"/>
      <c r="M83" s="126"/>
      <c r="N83" s="131"/>
      <c r="O83" s="141">
        <f>SUM(O9:O82)</f>
        <v>34854193.359999999</v>
      </c>
      <c r="P83" s="307"/>
      <c r="Q83" s="330">
        <f>SUM(Q9:Q82)</f>
        <v>0</v>
      </c>
      <c r="R83" s="312"/>
      <c r="S83" s="127"/>
    </row>
    <row r="84" spans="2:27">
      <c r="I84" s="3"/>
      <c r="J84" s="3"/>
      <c r="K84" s="3"/>
      <c r="L84" s="3"/>
      <c r="M84" s="3"/>
      <c r="N84" s="3"/>
      <c r="P84" s="3"/>
      <c r="R84" s="3"/>
      <c r="S84" s="35"/>
    </row>
    <row r="85" spans="2:27">
      <c r="B85" s="4" t="s">
        <v>540</v>
      </c>
      <c r="I85" s="3"/>
      <c r="J85" s="3"/>
      <c r="K85" s="3"/>
      <c r="L85" s="3"/>
      <c r="M85" s="3"/>
      <c r="N85" s="3"/>
      <c r="P85" s="3"/>
      <c r="R85" s="3"/>
      <c r="S85" s="35"/>
    </row>
    <row r="86" spans="2:27">
      <c r="B86" s="515" t="s">
        <v>451</v>
      </c>
      <c r="C86" s="515"/>
      <c r="D86" s="515"/>
      <c r="E86" s="515"/>
      <c r="F86" s="515"/>
      <c r="G86" s="515"/>
      <c r="I86" s="3"/>
      <c r="J86" s="3"/>
      <c r="K86" s="3"/>
      <c r="L86" s="3"/>
      <c r="M86" s="3"/>
      <c r="N86" s="3"/>
      <c r="P86" s="3"/>
      <c r="R86" s="3"/>
      <c r="S86" s="35"/>
      <c r="W86" s="503"/>
      <c r="X86" s="503"/>
      <c r="Y86" s="503"/>
      <c r="Z86" s="503"/>
      <c r="AA86" s="503"/>
    </row>
    <row r="87" spans="2:27" ht="26.25">
      <c r="B87" s="42" t="s">
        <v>423</v>
      </c>
      <c r="C87" s="42"/>
      <c r="D87" s="42" t="s">
        <v>45</v>
      </c>
      <c r="E87" s="42" t="s">
        <v>66</v>
      </c>
      <c r="F87" s="43" t="s">
        <v>483</v>
      </c>
      <c r="G87" s="42" t="s">
        <v>94</v>
      </c>
      <c r="H87" s="65"/>
      <c r="I87" s="3"/>
      <c r="J87" s="3"/>
      <c r="K87" s="3"/>
      <c r="L87" s="3"/>
      <c r="M87" s="3"/>
      <c r="N87" s="3"/>
      <c r="P87" s="3"/>
      <c r="R87" s="3"/>
      <c r="S87" s="35"/>
      <c r="U87" s="503"/>
      <c r="V87" s="503"/>
      <c r="W87" s="503"/>
      <c r="X87" s="503"/>
      <c r="Y87" s="503"/>
      <c r="Z87" s="14"/>
    </row>
    <row r="88" spans="2:27">
      <c r="B88" s="21" t="s">
        <v>424</v>
      </c>
      <c r="C88" s="21"/>
      <c r="D88" s="27" t="s">
        <v>486</v>
      </c>
      <c r="E88" s="38" t="s">
        <v>487</v>
      </c>
      <c r="F88" s="7">
        <v>3607.77</v>
      </c>
      <c r="G88" s="34" t="s">
        <v>481</v>
      </c>
      <c r="H88" s="45" t="str">
        <f>"R$ "&amp;F88</f>
        <v>R$ 3607,77</v>
      </c>
      <c r="I88" s="4" t="str">
        <f>B88&amp;"-"&amp;H88&amp;";"</f>
        <v>União-R$ 3607,77;</v>
      </c>
      <c r="J88" s="3"/>
      <c r="K88" s="3"/>
      <c r="L88" s="3"/>
      <c r="M88" s="3"/>
      <c r="N88" s="3"/>
      <c r="P88" s="3"/>
      <c r="R88" s="3"/>
      <c r="S88" s="35"/>
      <c r="U88" s="14"/>
      <c r="V88" s="14"/>
      <c r="W88" s="15"/>
      <c r="X88" s="14"/>
      <c r="Y88" s="14"/>
      <c r="Z88" s="19"/>
      <c r="AA88" s="16"/>
    </row>
    <row r="89" spans="2:27">
      <c r="B89" s="21" t="s">
        <v>424</v>
      </c>
      <c r="C89" s="21"/>
      <c r="D89" s="27" t="s">
        <v>486</v>
      </c>
      <c r="E89" s="38" t="s">
        <v>488</v>
      </c>
      <c r="F89" s="7">
        <v>3606.98</v>
      </c>
      <c r="G89" s="34" t="s">
        <v>481</v>
      </c>
      <c r="H89" s="45" t="str">
        <f t="shared" ref="H89:H129" si="1">"R$ "&amp;F89</f>
        <v>R$ 3606,98</v>
      </c>
      <c r="I89" s="4" t="str">
        <f t="shared" ref="I89:I129" si="2">B89&amp;"-"&amp;H89&amp;";"</f>
        <v>União-R$ 3606,98;</v>
      </c>
      <c r="J89" s="3"/>
      <c r="K89" s="3"/>
      <c r="L89" s="3"/>
      <c r="M89" s="3"/>
      <c r="N89" s="3"/>
      <c r="P89" s="3"/>
      <c r="R89" s="3"/>
      <c r="S89" s="35"/>
      <c r="U89" s="22"/>
      <c r="V89" s="17"/>
      <c r="W89" s="18"/>
      <c r="X89" s="19"/>
      <c r="Y89" s="16"/>
      <c r="Z89" s="3"/>
      <c r="AA89" s="16"/>
    </row>
    <row r="90" spans="2:27">
      <c r="B90" s="21" t="s">
        <v>424</v>
      </c>
      <c r="C90" s="21"/>
      <c r="D90" s="27" t="s">
        <v>486</v>
      </c>
      <c r="E90" s="38" t="s">
        <v>489</v>
      </c>
      <c r="F90" s="7">
        <v>2722.65</v>
      </c>
      <c r="G90" s="34" t="s">
        <v>481</v>
      </c>
      <c r="H90" s="45" t="str">
        <f t="shared" si="1"/>
        <v>R$ 2722,65</v>
      </c>
      <c r="I90" s="4" t="str">
        <f t="shared" si="2"/>
        <v>União-R$ 2722,65;</v>
      </c>
      <c r="J90" s="3"/>
      <c r="K90" s="3"/>
      <c r="L90" s="3"/>
      <c r="M90" s="3"/>
      <c r="N90" s="3"/>
      <c r="P90" s="3"/>
      <c r="R90" s="3"/>
      <c r="S90" s="35"/>
      <c r="U90" s="23"/>
      <c r="V90" s="5"/>
      <c r="W90" s="20"/>
      <c r="X90" s="3"/>
      <c r="Y90" s="16"/>
      <c r="Z90" s="3"/>
    </row>
    <row r="91" spans="2:27">
      <c r="B91" s="21" t="s">
        <v>424</v>
      </c>
      <c r="C91" s="21"/>
      <c r="D91" s="27" t="s">
        <v>486</v>
      </c>
      <c r="E91" s="38" t="s">
        <v>490</v>
      </c>
      <c r="F91" s="7">
        <v>908.7</v>
      </c>
      <c r="G91" s="34" t="s">
        <v>481</v>
      </c>
      <c r="H91" s="45" t="str">
        <f t="shared" si="1"/>
        <v>R$ 908,7</v>
      </c>
      <c r="I91" s="4" t="str">
        <f t="shared" si="2"/>
        <v>União-R$ 908,7;</v>
      </c>
      <c r="J91" s="3"/>
      <c r="K91" s="3"/>
      <c r="L91" s="3"/>
      <c r="M91" s="3"/>
      <c r="N91" s="3"/>
      <c r="P91" s="3"/>
      <c r="R91" s="3"/>
      <c r="S91" s="35"/>
      <c r="V91" s="81"/>
      <c r="W91" s="20"/>
      <c r="X91" s="3"/>
      <c r="Z91" s="3"/>
    </row>
    <row r="92" spans="2:27">
      <c r="B92" s="21" t="s">
        <v>424</v>
      </c>
      <c r="C92" s="21"/>
      <c r="D92" s="27" t="s">
        <v>486</v>
      </c>
      <c r="E92" s="38" t="s">
        <v>491</v>
      </c>
      <c r="F92" s="7">
        <v>1299.8</v>
      </c>
      <c r="G92" s="34" t="s">
        <v>481</v>
      </c>
      <c r="H92" s="45" t="str">
        <f t="shared" si="1"/>
        <v>R$ 1299,8</v>
      </c>
      <c r="I92" s="4" t="str">
        <f t="shared" si="2"/>
        <v>União-R$ 1299,8;</v>
      </c>
      <c r="J92" s="3"/>
      <c r="K92" s="3"/>
      <c r="L92" s="3"/>
      <c r="M92" s="3"/>
      <c r="N92" s="3"/>
      <c r="P92" s="3"/>
      <c r="R92" s="3"/>
      <c r="S92" s="35"/>
      <c r="V92" s="81"/>
      <c r="W92" s="20"/>
      <c r="X92" s="3"/>
      <c r="Z92" s="3"/>
    </row>
    <row r="93" spans="2:27">
      <c r="B93" s="21" t="s">
        <v>424</v>
      </c>
      <c r="C93" s="21"/>
      <c r="D93" s="27" t="s">
        <v>486</v>
      </c>
      <c r="E93" s="38" t="s">
        <v>492</v>
      </c>
      <c r="F93" s="7">
        <v>3597.66</v>
      </c>
      <c r="G93" s="34" t="s">
        <v>481</v>
      </c>
      <c r="H93" s="45" t="str">
        <f t="shared" si="1"/>
        <v>R$ 3597,66</v>
      </c>
      <c r="I93" s="4" t="str">
        <f t="shared" si="2"/>
        <v>União-R$ 3597,66;</v>
      </c>
      <c r="J93" s="3"/>
      <c r="K93" s="3"/>
      <c r="L93" s="3"/>
      <c r="M93" s="3"/>
      <c r="N93" s="3"/>
      <c r="P93" s="3"/>
      <c r="R93" s="3"/>
      <c r="S93" s="35"/>
      <c r="V93" s="81"/>
      <c r="W93" s="20"/>
      <c r="X93" s="3"/>
      <c r="Z93" s="82"/>
    </row>
    <row r="94" spans="2:27">
      <c r="B94" s="21" t="s">
        <v>424</v>
      </c>
      <c r="C94" s="21"/>
      <c r="D94" s="27" t="s">
        <v>486</v>
      </c>
      <c r="E94" s="38" t="s">
        <v>504</v>
      </c>
      <c r="F94" s="63">
        <v>4123.29</v>
      </c>
      <c r="G94" s="70" t="s">
        <v>481</v>
      </c>
      <c r="H94" s="45" t="str">
        <f t="shared" si="1"/>
        <v>R$ 4123,29</v>
      </c>
      <c r="I94" s="4" t="str">
        <f t="shared" si="2"/>
        <v>União-R$ 4123,29;</v>
      </c>
      <c r="J94" s="3"/>
      <c r="K94" s="3"/>
      <c r="L94" s="3"/>
      <c r="M94" s="3"/>
      <c r="N94" s="3"/>
      <c r="P94" s="3"/>
      <c r="R94" s="3"/>
      <c r="S94" s="35"/>
      <c r="U94" s="445"/>
      <c r="V94" s="445"/>
      <c r="W94" s="445"/>
      <c r="X94" s="82"/>
    </row>
    <row r="95" spans="2:27">
      <c r="B95" s="21" t="s">
        <v>424</v>
      </c>
      <c r="C95" s="21"/>
      <c r="D95" s="27" t="s">
        <v>486</v>
      </c>
      <c r="E95" s="38" t="s">
        <v>493</v>
      </c>
      <c r="F95" s="63">
        <v>14728.18</v>
      </c>
      <c r="G95" s="70" t="s">
        <v>481</v>
      </c>
      <c r="H95" s="45" t="str">
        <f t="shared" si="1"/>
        <v>R$ 14728,18</v>
      </c>
      <c r="I95" s="4" t="str">
        <f t="shared" si="2"/>
        <v>União-R$ 14728,18;</v>
      </c>
      <c r="J95" s="3"/>
      <c r="K95" s="3"/>
      <c r="L95" s="3"/>
      <c r="M95" s="3"/>
      <c r="N95" s="3"/>
      <c r="P95" s="3"/>
      <c r="R95" s="3"/>
      <c r="S95" s="35"/>
    </row>
    <row r="96" spans="2:27">
      <c r="B96" s="21" t="s">
        <v>424</v>
      </c>
      <c r="C96" s="21"/>
      <c r="D96" s="27" t="s">
        <v>486</v>
      </c>
      <c r="E96" s="38" t="s">
        <v>494</v>
      </c>
      <c r="F96" s="63">
        <v>1798.81</v>
      </c>
      <c r="G96" s="70" t="s">
        <v>481</v>
      </c>
      <c r="H96" s="45" t="str">
        <f t="shared" si="1"/>
        <v>R$ 1798,81</v>
      </c>
      <c r="I96" s="4" t="str">
        <f t="shared" si="2"/>
        <v>União-R$ 1798,81;</v>
      </c>
      <c r="J96" s="3"/>
      <c r="K96" s="3"/>
      <c r="L96" s="3"/>
      <c r="M96" s="3"/>
      <c r="N96" s="3"/>
      <c r="P96" s="3"/>
      <c r="R96" s="3"/>
      <c r="S96" s="35"/>
    </row>
    <row r="97" spans="2:19">
      <c r="B97" s="21" t="s">
        <v>424</v>
      </c>
      <c r="C97" s="21"/>
      <c r="D97" s="27" t="s">
        <v>486</v>
      </c>
      <c r="E97" s="38" t="s">
        <v>495</v>
      </c>
      <c r="F97" s="63">
        <v>4854.78</v>
      </c>
      <c r="G97" s="70" t="s">
        <v>481</v>
      </c>
      <c r="H97" s="45" t="str">
        <f t="shared" si="1"/>
        <v>R$ 4854,78</v>
      </c>
      <c r="I97" s="4" t="str">
        <f t="shared" si="2"/>
        <v>União-R$ 4854,78;</v>
      </c>
      <c r="J97" s="3"/>
      <c r="K97" s="3"/>
      <c r="L97" s="3"/>
      <c r="M97" s="3"/>
      <c r="N97" s="3"/>
      <c r="P97" s="3"/>
      <c r="R97" s="3"/>
      <c r="S97" s="35"/>
    </row>
    <row r="98" spans="2:19">
      <c r="B98" s="21" t="s">
        <v>424</v>
      </c>
      <c r="C98" s="21"/>
      <c r="D98" s="27" t="s">
        <v>486</v>
      </c>
      <c r="E98" s="38" t="s">
        <v>496</v>
      </c>
      <c r="F98" s="63">
        <v>8982.68</v>
      </c>
      <c r="G98" s="70" t="s">
        <v>481</v>
      </c>
      <c r="H98" s="45" t="str">
        <f t="shared" si="1"/>
        <v>R$ 8982,68</v>
      </c>
      <c r="I98" s="4" t="str">
        <f t="shared" si="2"/>
        <v>União-R$ 8982,68;</v>
      </c>
      <c r="J98" s="3"/>
      <c r="K98" s="3"/>
      <c r="L98" s="3"/>
      <c r="M98" s="3"/>
      <c r="N98" s="3"/>
      <c r="P98" s="3"/>
      <c r="R98" s="3"/>
      <c r="S98" s="35"/>
    </row>
    <row r="99" spans="2:19">
      <c r="B99" s="21" t="s">
        <v>424</v>
      </c>
      <c r="C99" s="21"/>
      <c r="D99" s="27" t="s">
        <v>486</v>
      </c>
      <c r="E99" s="38" t="s">
        <v>497</v>
      </c>
      <c r="F99" s="63">
        <v>1299.8</v>
      </c>
      <c r="G99" s="70" t="s">
        <v>481</v>
      </c>
      <c r="H99" s="45" t="str">
        <f t="shared" si="1"/>
        <v>R$ 1299,8</v>
      </c>
      <c r="I99" s="4" t="str">
        <f t="shared" si="2"/>
        <v>União-R$ 1299,8;</v>
      </c>
      <c r="J99" s="3"/>
      <c r="K99" s="3"/>
      <c r="L99" s="3"/>
      <c r="M99" s="3"/>
      <c r="N99" s="3"/>
      <c r="P99" s="3"/>
      <c r="R99" s="3"/>
      <c r="S99" s="35"/>
    </row>
    <row r="100" spans="2:19">
      <c r="B100" s="21" t="s">
        <v>424</v>
      </c>
      <c r="C100" s="21"/>
      <c r="D100" s="27" t="s">
        <v>486</v>
      </c>
      <c r="E100" s="38" t="s">
        <v>498</v>
      </c>
      <c r="F100" s="63">
        <v>2698.77</v>
      </c>
      <c r="G100" s="70" t="s">
        <v>481</v>
      </c>
      <c r="H100" s="45" t="str">
        <f t="shared" si="1"/>
        <v>R$ 2698,77</v>
      </c>
      <c r="I100" s="4" t="str">
        <f t="shared" si="2"/>
        <v>União-R$ 2698,77;</v>
      </c>
      <c r="J100" s="3"/>
      <c r="K100" s="3"/>
      <c r="L100" s="3"/>
      <c r="M100" s="3"/>
      <c r="N100" s="3"/>
      <c r="P100" s="3"/>
      <c r="R100" s="3"/>
      <c r="S100" s="35"/>
    </row>
    <row r="101" spans="2:19">
      <c r="B101" s="21" t="s">
        <v>424</v>
      </c>
      <c r="C101" s="21"/>
      <c r="D101" s="27" t="s">
        <v>486</v>
      </c>
      <c r="E101" s="38" t="s">
        <v>499</v>
      </c>
      <c r="F101" s="63">
        <v>3602.34</v>
      </c>
      <c r="G101" s="70" t="s">
        <v>481</v>
      </c>
      <c r="H101" s="45" t="str">
        <f t="shared" si="1"/>
        <v>R$ 3602,34</v>
      </c>
      <c r="I101" s="4" t="str">
        <f t="shared" si="2"/>
        <v>União-R$ 3602,34;</v>
      </c>
      <c r="J101" s="3"/>
      <c r="K101" s="3"/>
      <c r="L101" s="3"/>
      <c r="M101" s="3"/>
      <c r="N101" s="3"/>
      <c r="P101" s="3"/>
      <c r="R101" s="3"/>
      <c r="S101" s="35"/>
    </row>
    <row r="102" spans="2:19">
      <c r="B102" s="21" t="s">
        <v>424</v>
      </c>
      <c r="C102" s="21"/>
      <c r="D102" s="27" t="s">
        <v>486</v>
      </c>
      <c r="E102" s="38" t="s">
        <v>500</v>
      </c>
      <c r="F102" s="63">
        <v>7007.37</v>
      </c>
      <c r="G102" s="70" t="s">
        <v>481</v>
      </c>
      <c r="H102" s="45" t="str">
        <f t="shared" si="1"/>
        <v>R$ 7007,37</v>
      </c>
      <c r="I102" s="4" t="str">
        <f t="shared" si="2"/>
        <v>União-R$ 7007,37;</v>
      </c>
      <c r="J102" s="3"/>
      <c r="K102" s="3"/>
      <c r="L102" s="3"/>
      <c r="M102" s="3"/>
      <c r="N102" s="3"/>
      <c r="P102" s="3"/>
      <c r="R102" s="3"/>
      <c r="S102" s="35"/>
    </row>
    <row r="103" spans="2:19">
      <c r="B103" s="21" t="s">
        <v>424</v>
      </c>
      <c r="C103" s="21"/>
      <c r="D103" s="27" t="s">
        <v>486</v>
      </c>
      <c r="E103" s="38" t="s">
        <v>501</v>
      </c>
      <c r="F103" s="7">
        <v>6279.72</v>
      </c>
      <c r="G103" s="34" t="s">
        <v>481</v>
      </c>
      <c r="H103" s="45" t="str">
        <f t="shared" si="1"/>
        <v>R$ 6279,72</v>
      </c>
      <c r="I103" s="4" t="str">
        <f t="shared" si="2"/>
        <v>União-R$ 6279,72;</v>
      </c>
      <c r="J103" s="3"/>
      <c r="K103" s="3"/>
      <c r="L103" s="3"/>
      <c r="M103" s="3"/>
      <c r="N103" s="3"/>
      <c r="P103" s="3"/>
      <c r="R103" s="3"/>
      <c r="S103" s="35"/>
    </row>
    <row r="104" spans="2:19">
      <c r="B104" s="21" t="s">
        <v>424</v>
      </c>
      <c r="C104" s="21"/>
      <c r="D104" s="27" t="s">
        <v>486</v>
      </c>
      <c r="E104" s="38" t="s">
        <v>502</v>
      </c>
      <c r="F104" s="7">
        <v>3602.34</v>
      </c>
      <c r="G104" s="34" t="s">
        <v>481</v>
      </c>
      <c r="H104" s="45" t="str">
        <f t="shared" si="1"/>
        <v>R$ 3602,34</v>
      </c>
      <c r="I104" s="4" t="str">
        <f t="shared" si="2"/>
        <v>União-R$ 3602,34;</v>
      </c>
      <c r="J104" s="3"/>
      <c r="K104" s="3"/>
      <c r="L104" s="3"/>
      <c r="M104" s="3"/>
      <c r="N104" s="3"/>
      <c r="P104" s="3"/>
      <c r="R104" s="3"/>
      <c r="S104" s="35"/>
    </row>
    <row r="105" spans="2:19">
      <c r="B105" s="21" t="s">
        <v>424</v>
      </c>
      <c r="C105" s="21"/>
      <c r="D105" s="27" t="s">
        <v>486</v>
      </c>
      <c r="E105" s="38" t="s">
        <v>503</v>
      </c>
      <c r="F105" s="7">
        <v>3577.14</v>
      </c>
      <c r="G105" s="34" t="s">
        <v>481</v>
      </c>
      <c r="H105" s="45" t="str">
        <f t="shared" si="1"/>
        <v>R$ 3577,14</v>
      </c>
      <c r="I105" s="4" t="str">
        <f t="shared" si="2"/>
        <v>União-R$ 3577,14;</v>
      </c>
      <c r="J105" s="3"/>
      <c r="K105" s="3"/>
      <c r="L105" s="3"/>
      <c r="M105" s="3"/>
      <c r="N105" s="3"/>
      <c r="P105" s="3"/>
      <c r="R105" s="3"/>
      <c r="S105" s="35"/>
    </row>
    <row r="106" spans="2:19">
      <c r="B106" s="21" t="s">
        <v>424</v>
      </c>
      <c r="C106" s="21"/>
      <c r="D106" s="21" t="s">
        <v>135</v>
      </c>
      <c r="E106" s="47"/>
      <c r="F106" s="40">
        <f>60*500</f>
        <v>30000</v>
      </c>
      <c r="G106" s="38" t="s">
        <v>457</v>
      </c>
      <c r="H106" s="45" t="str">
        <f t="shared" si="1"/>
        <v>R$ 30000</v>
      </c>
      <c r="I106" s="4" t="str">
        <f t="shared" si="2"/>
        <v>União-R$ 30000;</v>
      </c>
      <c r="J106" s="3"/>
      <c r="K106" s="3"/>
      <c r="L106" s="3"/>
      <c r="M106" s="3"/>
      <c r="N106" s="3"/>
      <c r="P106" s="3"/>
      <c r="R106" s="3"/>
      <c r="S106" s="35"/>
    </row>
    <row r="107" spans="2:19">
      <c r="B107" s="6" t="s">
        <v>505</v>
      </c>
      <c r="C107" s="6"/>
      <c r="D107" s="6" t="s">
        <v>61</v>
      </c>
      <c r="E107" s="46">
        <v>1999</v>
      </c>
      <c r="F107" s="7">
        <v>129.66</v>
      </c>
      <c r="G107" s="38" t="s">
        <v>462</v>
      </c>
      <c r="H107" s="45" t="str">
        <f t="shared" si="1"/>
        <v>R$ 129,66</v>
      </c>
      <c r="I107" s="4" t="str">
        <f t="shared" si="2"/>
        <v>Município de Joinville-R$ 129,66;</v>
      </c>
      <c r="J107" s="3"/>
      <c r="K107" s="3"/>
      <c r="L107" s="3"/>
      <c r="M107" s="3"/>
      <c r="N107" s="3"/>
      <c r="P107" s="3"/>
      <c r="R107" s="3"/>
      <c r="S107" s="35"/>
    </row>
    <row r="108" spans="2:19">
      <c r="B108" s="6" t="s">
        <v>505</v>
      </c>
      <c r="C108" s="6"/>
      <c r="D108" s="6" t="s">
        <v>61</v>
      </c>
      <c r="E108" s="46">
        <v>2000</v>
      </c>
      <c r="F108" s="7">
        <v>129.66</v>
      </c>
      <c r="G108" s="38" t="s">
        <v>462</v>
      </c>
      <c r="H108" s="45" t="str">
        <f t="shared" si="1"/>
        <v>R$ 129,66</v>
      </c>
      <c r="I108" s="4" t="str">
        <f t="shared" si="2"/>
        <v>Município de Joinville-R$ 129,66;</v>
      </c>
      <c r="J108" s="3"/>
      <c r="K108" s="3"/>
      <c r="L108" s="3"/>
      <c r="M108" s="3"/>
      <c r="N108" s="3"/>
      <c r="P108" s="3"/>
      <c r="R108" s="3"/>
      <c r="S108" s="35"/>
    </row>
    <row r="109" spans="2:19">
      <c r="B109" s="6" t="s">
        <v>505</v>
      </c>
      <c r="C109" s="6"/>
      <c r="D109" s="6" t="s">
        <v>61</v>
      </c>
      <c r="E109" s="46">
        <v>2001</v>
      </c>
      <c r="F109" s="7">
        <v>143.72</v>
      </c>
      <c r="G109" s="38" t="s">
        <v>462</v>
      </c>
      <c r="H109" s="45" t="str">
        <f t="shared" si="1"/>
        <v>R$ 143,72</v>
      </c>
      <c r="I109" s="4" t="str">
        <f t="shared" si="2"/>
        <v>Município de Joinville-R$ 143,72;</v>
      </c>
      <c r="J109" s="3"/>
      <c r="K109" s="3"/>
      <c r="L109" s="3"/>
      <c r="M109" s="3"/>
      <c r="N109" s="3"/>
      <c r="P109" s="3"/>
      <c r="R109" s="3"/>
      <c r="S109" s="35"/>
    </row>
    <row r="110" spans="2:19">
      <c r="B110" s="6" t="s">
        <v>505</v>
      </c>
      <c r="C110" s="6"/>
      <c r="D110" s="6" t="s">
        <v>61</v>
      </c>
      <c r="E110" s="46">
        <v>2002</v>
      </c>
      <c r="F110" s="7">
        <v>146.55000000000001</v>
      </c>
      <c r="G110" s="38" t="s">
        <v>462</v>
      </c>
      <c r="H110" s="45" t="str">
        <f t="shared" si="1"/>
        <v>R$ 146,55</v>
      </c>
      <c r="I110" s="4" t="str">
        <f t="shared" si="2"/>
        <v>Município de Joinville-R$ 146,55;</v>
      </c>
      <c r="J110" s="3"/>
      <c r="K110" s="3"/>
      <c r="L110" s="3"/>
      <c r="M110" s="3"/>
      <c r="N110" s="3"/>
      <c r="P110" s="3"/>
      <c r="R110" s="3"/>
      <c r="S110" s="35"/>
    </row>
    <row r="111" spans="2:19">
      <c r="B111" s="6" t="s">
        <v>505</v>
      </c>
      <c r="C111" s="6"/>
      <c r="D111" s="6" t="s">
        <v>60</v>
      </c>
      <c r="E111" s="46">
        <v>2003</v>
      </c>
      <c r="F111" s="7">
        <v>152.59</v>
      </c>
      <c r="G111" s="38" t="s">
        <v>462</v>
      </c>
      <c r="H111" s="45" t="str">
        <f t="shared" si="1"/>
        <v>R$ 152,59</v>
      </c>
      <c r="I111" s="4" t="str">
        <f t="shared" si="2"/>
        <v>Município de Joinville-R$ 152,59;</v>
      </c>
      <c r="J111" s="3"/>
      <c r="K111" s="3"/>
      <c r="L111" s="3"/>
      <c r="M111" s="3"/>
      <c r="N111" s="3"/>
      <c r="P111" s="3"/>
      <c r="R111" s="3"/>
      <c r="S111" s="35"/>
    </row>
    <row r="112" spans="2:19">
      <c r="B112" s="6" t="s">
        <v>505</v>
      </c>
      <c r="C112" s="6"/>
      <c r="D112" s="6" t="s">
        <v>61</v>
      </c>
      <c r="E112" s="46">
        <v>2004</v>
      </c>
      <c r="F112" s="7">
        <v>150.56</v>
      </c>
      <c r="G112" s="38" t="s">
        <v>462</v>
      </c>
      <c r="H112" s="45" t="str">
        <f t="shared" si="1"/>
        <v>R$ 150,56</v>
      </c>
      <c r="I112" s="4" t="str">
        <f t="shared" si="2"/>
        <v>Município de Joinville-R$ 150,56;</v>
      </c>
      <c r="J112" s="3"/>
      <c r="K112" s="3"/>
      <c r="L112" s="3"/>
      <c r="M112" s="3"/>
      <c r="N112" s="3"/>
      <c r="P112" s="3"/>
      <c r="R112" s="3"/>
      <c r="S112" s="35"/>
    </row>
    <row r="113" spans="2:19">
      <c r="B113" s="6" t="s">
        <v>505</v>
      </c>
      <c r="C113" s="6"/>
      <c r="D113" s="6" t="s">
        <v>60</v>
      </c>
      <c r="E113" s="46">
        <v>2005</v>
      </c>
      <c r="F113" s="7">
        <v>157.77000000000001</v>
      </c>
      <c r="G113" s="38" t="s">
        <v>462</v>
      </c>
      <c r="H113" s="45" t="str">
        <f t="shared" si="1"/>
        <v>R$ 157,77</v>
      </c>
      <c r="I113" s="4" t="str">
        <f t="shared" si="2"/>
        <v>Município de Joinville-R$ 157,77;</v>
      </c>
      <c r="J113" s="3"/>
      <c r="K113" s="3"/>
      <c r="L113" s="3"/>
      <c r="M113" s="3"/>
      <c r="N113" s="3"/>
      <c r="P113" s="3"/>
      <c r="R113" s="3"/>
      <c r="S113" s="35"/>
    </row>
    <row r="114" spans="2:19">
      <c r="B114" s="6" t="s">
        <v>505</v>
      </c>
      <c r="C114" s="6"/>
      <c r="D114" s="6" t="s">
        <v>60</v>
      </c>
      <c r="E114" s="46">
        <v>2006</v>
      </c>
      <c r="F114" s="7">
        <v>172.23</v>
      </c>
      <c r="G114" s="38" t="s">
        <v>462</v>
      </c>
      <c r="H114" s="45" t="str">
        <f t="shared" si="1"/>
        <v>R$ 172,23</v>
      </c>
      <c r="I114" s="4" t="str">
        <f t="shared" si="2"/>
        <v>Município de Joinville-R$ 172,23;</v>
      </c>
      <c r="J114" s="3"/>
      <c r="K114" s="3"/>
      <c r="L114" s="3"/>
      <c r="M114" s="3"/>
      <c r="N114" s="3"/>
      <c r="P114" s="3"/>
      <c r="R114" s="3"/>
      <c r="S114" s="35"/>
    </row>
    <row r="115" spans="2:19">
      <c r="B115" s="6" t="s">
        <v>505</v>
      </c>
      <c r="C115" s="6"/>
      <c r="D115" s="6" t="s">
        <v>60</v>
      </c>
      <c r="E115" s="46">
        <v>2007</v>
      </c>
      <c r="F115" s="7">
        <v>292.33999999999997</v>
      </c>
      <c r="G115" s="38" t="s">
        <v>462</v>
      </c>
      <c r="H115" s="45" t="str">
        <f t="shared" si="1"/>
        <v>R$ 292,34</v>
      </c>
      <c r="I115" s="4" t="str">
        <f t="shared" si="2"/>
        <v>Município de Joinville-R$ 292,34;</v>
      </c>
      <c r="J115" s="3"/>
      <c r="K115" s="3"/>
      <c r="L115" s="3"/>
      <c r="M115" s="3"/>
      <c r="N115" s="3"/>
      <c r="P115" s="3"/>
      <c r="R115" s="3"/>
      <c r="S115" s="35"/>
    </row>
    <row r="116" spans="2:19">
      <c r="B116" s="6" t="s">
        <v>505</v>
      </c>
      <c r="C116" s="6"/>
      <c r="D116" s="6" t="s">
        <v>60</v>
      </c>
      <c r="E116" s="46">
        <v>2008</v>
      </c>
      <c r="F116" s="7">
        <v>290.37</v>
      </c>
      <c r="G116" s="38" t="s">
        <v>462</v>
      </c>
      <c r="H116" s="45" t="str">
        <f t="shared" si="1"/>
        <v>R$ 290,37</v>
      </c>
      <c r="I116" s="4" t="str">
        <f t="shared" si="2"/>
        <v>Município de Joinville-R$ 290,37;</v>
      </c>
      <c r="J116" s="3"/>
      <c r="K116" s="3"/>
      <c r="L116" s="3"/>
      <c r="M116" s="3"/>
      <c r="N116" s="3"/>
      <c r="P116" s="3"/>
      <c r="R116" s="3"/>
      <c r="S116" s="35"/>
    </row>
    <row r="117" spans="2:19">
      <c r="B117" s="6" t="s">
        <v>505</v>
      </c>
      <c r="C117" s="6"/>
      <c r="D117" s="6" t="s">
        <v>60</v>
      </c>
      <c r="E117" s="46">
        <v>2009</v>
      </c>
      <c r="F117" s="7">
        <v>181.99</v>
      </c>
      <c r="G117" s="38" t="s">
        <v>462</v>
      </c>
      <c r="H117" s="45" t="str">
        <f t="shared" si="1"/>
        <v>R$ 181,99</v>
      </c>
      <c r="I117" s="4" t="str">
        <f t="shared" si="2"/>
        <v>Município de Joinville-R$ 181,99;</v>
      </c>
      <c r="J117" s="3"/>
      <c r="K117" s="3"/>
      <c r="L117" s="3"/>
      <c r="M117" s="3"/>
      <c r="N117" s="3"/>
      <c r="P117" s="3"/>
      <c r="R117" s="3"/>
      <c r="S117" s="35"/>
    </row>
    <row r="118" spans="2:19">
      <c r="B118" s="6" t="s">
        <v>505</v>
      </c>
      <c r="C118" s="6"/>
      <c r="D118" s="6" t="s">
        <v>60</v>
      </c>
      <c r="E118" s="46">
        <v>2010</v>
      </c>
      <c r="F118" s="7">
        <v>185.71</v>
      </c>
      <c r="G118" s="38" t="s">
        <v>462</v>
      </c>
      <c r="H118" s="45" t="str">
        <f t="shared" si="1"/>
        <v>R$ 185,71</v>
      </c>
      <c r="I118" s="4" t="str">
        <f t="shared" si="2"/>
        <v>Município de Joinville-R$ 185,71;</v>
      </c>
      <c r="J118" s="3"/>
      <c r="K118" s="3"/>
      <c r="L118" s="3"/>
      <c r="M118" s="3"/>
      <c r="N118" s="3"/>
      <c r="P118" s="3"/>
      <c r="R118" s="3"/>
      <c r="S118" s="35"/>
    </row>
    <row r="119" spans="2:19">
      <c r="B119" s="6" t="s">
        <v>505</v>
      </c>
      <c r="C119" s="6"/>
      <c r="D119" s="6" t="s">
        <v>60</v>
      </c>
      <c r="E119" s="46">
        <v>2011</v>
      </c>
      <c r="F119" s="7">
        <v>196.9</v>
      </c>
      <c r="G119" s="38" t="s">
        <v>462</v>
      </c>
      <c r="H119" s="45" t="str">
        <f t="shared" si="1"/>
        <v>R$ 196,9</v>
      </c>
      <c r="I119" s="4" t="str">
        <f t="shared" si="2"/>
        <v>Município de Joinville-R$ 196,9;</v>
      </c>
      <c r="J119" s="3"/>
      <c r="K119" s="3"/>
      <c r="L119" s="3"/>
      <c r="M119" s="3"/>
      <c r="N119" s="3"/>
      <c r="P119" s="3"/>
      <c r="R119" s="3"/>
      <c r="S119" s="35"/>
    </row>
    <row r="120" spans="2:19">
      <c r="B120" s="6" t="s">
        <v>505</v>
      </c>
      <c r="C120" s="6"/>
      <c r="D120" s="6" t="s">
        <v>60</v>
      </c>
      <c r="E120" s="46">
        <v>2012</v>
      </c>
      <c r="F120" s="7">
        <v>651.49</v>
      </c>
      <c r="G120" s="38" t="s">
        <v>462</v>
      </c>
      <c r="H120" s="45" t="str">
        <f t="shared" si="1"/>
        <v>R$ 651,49</v>
      </c>
      <c r="I120" s="4" t="str">
        <f t="shared" si="2"/>
        <v>Município de Joinville-R$ 651,49;</v>
      </c>
      <c r="J120" s="3"/>
      <c r="K120" s="3"/>
      <c r="L120" s="3"/>
      <c r="M120" s="3"/>
      <c r="N120" s="3"/>
      <c r="P120" s="3"/>
      <c r="R120" s="3"/>
      <c r="S120" s="35"/>
    </row>
    <row r="121" spans="2:19">
      <c r="B121" s="6" t="s">
        <v>505</v>
      </c>
      <c r="C121" s="6"/>
      <c r="D121" s="6" t="s">
        <v>60</v>
      </c>
      <c r="E121" s="46">
        <v>2013</v>
      </c>
      <c r="F121" s="7">
        <v>687</v>
      </c>
      <c r="G121" s="38" t="s">
        <v>462</v>
      </c>
      <c r="H121" s="45" t="str">
        <f t="shared" si="1"/>
        <v>R$ 687</v>
      </c>
      <c r="I121" s="4" t="str">
        <f t="shared" si="2"/>
        <v>Município de Joinville-R$ 687;</v>
      </c>
      <c r="J121" s="3"/>
      <c r="K121" s="3"/>
      <c r="L121" s="3"/>
      <c r="M121" s="3"/>
      <c r="N121" s="3"/>
      <c r="P121" s="3"/>
      <c r="R121" s="3"/>
      <c r="S121" s="35"/>
    </row>
    <row r="122" spans="2:19">
      <c r="B122" s="6" t="s">
        <v>505</v>
      </c>
      <c r="C122" s="6"/>
      <c r="D122" s="6" t="s">
        <v>60</v>
      </c>
      <c r="E122" s="46">
        <v>2014</v>
      </c>
      <c r="F122" s="7">
        <v>727.2</v>
      </c>
      <c r="G122" s="38" t="s">
        <v>462</v>
      </c>
      <c r="H122" s="45" t="str">
        <f t="shared" si="1"/>
        <v>R$ 727,2</v>
      </c>
      <c r="I122" s="4" t="str">
        <f t="shared" si="2"/>
        <v>Município de Joinville-R$ 727,2;</v>
      </c>
      <c r="J122" s="3"/>
      <c r="K122" s="3"/>
      <c r="L122" s="3"/>
      <c r="M122" s="3"/>
      <c r="N122" s="3"/>
      <c r="P122" s="3"/>
      <c r="R122" s="3"/>
      <c r="S122" s="35"/>
    </row>
    <row r="123" spans="2:19">
      <c r="B123" s="6" t="s">
        <v>505</v>
      </c>
      <c r="C123" s="6"/>
      <c r="D123" s="6" t="s">
        <v>60</v>
      </c>
      <c r="E123" s="46">
        <v>2015</v>
      </c>
      <c r="F123" s="7">
        <v>775.1</v>
      </c>
      <c r="G123" s="38" t="s">
        <v>462</v>
      </c>
      <c r="H123" s="45" t="str">
        <f t="shared" si="1"/>
        <v>R$ 775,1</v>
      </c>
      <c r="I123" s="4" t="str">
        <f t="shared" si="2"/>
        <v>Município de Joinville-R$ 775,1;</v>
      </c>
      <c r="J123" s="3"/>
      <c r="K123" s="3"/>
      <c r="L123" s="3"/>
      <c r="M123" s="3"/>
      <c r="N123" s="3"/>
      <c r="P123" s="3"/>
      <c r="R123" s="3"/>
      <c r="S123" s="35"/>
    </row>
    <row r="124" spans="2:19">
      <c r="B124" s="6" t="s">
        <v>505</v>
      </c>
      <c r="C124" s="6"/>
      <c r="D124" s="6" t="s">
        <v>61</v>
      </c>
      <c r="E124" s="46">
        <v>2016</v>
      </c>
      <c r="F124" s="7">
        <v>851.5</v>
      </c>
      <c r="G124" s="38" t="s">
        <v>462</v>
      </c>
      <c r="H124" s="45" t="str">
        <f t="shared" si="1"/>
        <v>R$ 851,5</v>
      </c>
      <c r="I124" s="4" t="str">
        <f t="shared" si="2"/>
        <v>Município de Joinville-R$ 851,5;</v>
      </c>
      <c r="J124" s="3"/>
      <c r="K124" s="3"/>
      <c r="L124" s="3"/>
      <c r="M124" s="3"/>
      <c r="N124" s="3"/>
      <c r="P124" s="3"/>
      <c r="R124" s="3"/>
      <c r="S124" s="35"/>
    </row>
    <row r="125" spans="2:19">
      <c r="B125" s="6" t="s">
        <v>505</v>
      </c>
      <c r="C125" s="6"/>
      <c r="D125" s="6" t="s">
        <v>61</v>
      </c>
      <c r="E125" s="46">
        <v>2017</v>
      </c>
      <c r="F125" s="7">
        <v>918.9</v>
      </c>
      <c r="G125" s="38" t="s">
        <v>462</v>
      </c>
      <c r="H125" s="45" t="str">
        <f t="shared" si="1"/>
        <v>R$ 918,9</v>
      </c>
      <c r="I125" s="4" t="str">
        <f t="shared" si="2"/>
        <v>Município de Joinville-R$ 918,9;</v>
      </c>
      <c r="J125" s="3"/>
      <c r="K125" s="3"/>
      <c r="L125" s="3"/>
      <c r="M125" s="3"/>
      <c r="N125" s="3"/>
      <c r="P125" s="3"/>
      <c r="R125" s="3"/>
      <c r="S125" s="35"/>
    </row>
    <row r="126" spans="2:19">
      <c r="B126" s="6" t="s">
        <v>505</v>
      </c>
      <c r="C126" s="6"/>
      <c r="D126" s="6" t="s">
        <v>61</v>
      </c>
      <c r="E126" s="46">
        <v>2018</v>
      </c>
      <c r="F126" s="7">
        <v>941.89</v>
      </c>
      <c r="G126" s="38" t="s">
        <v>462</v>
      </c>
      <c r="H126" s="45" t="str">
        <f t="shared" si="1"/>
        <v>R$ 941,89</v>
      </c>
      <c r="I126" s="4" t="str">
        <f t="shared" si="2"/>
        <v>Município de Joinville-R$ 941,89;</v>
      </c>
      <c r="J126" s="3"/>
      <c r="K126" s="3"/>
      <c r="L126" s="3"/>
      <c r="M126" s="3"/>
      <c r="N126" s="3"/>
      <c r="P126" s="3"/>
      <c r="R126" s="3"/>
      <c r="S126" s="35"/>
    </row>
    <row r="127" spans="2:19">
      <c r="B127" s="28" t="s">
        <v>508</v>
      </c>
      <c r="C127" s="28"/>
      <c r="D127" s="6" t="s">
        <v>509</v>
      </c>
      <c r="E127" s="46" t="s">
        <v>510</v>
      </c>
      <c r="F127" s="7">
        <v>138.35</v>
      </c>
      <c r="G127" s="53" t="s">
        <v>507</v>
      </c>
      <c r="H127" s="45" t="str">
        <f t="shared" si="1"/>
        <v>R$ 138,35</v>
      </c>
      <c r="I127" s="4" t="str">
        <f t="shared" si="2"/>
        <v>Municipio de São José-R$ 138,35;</v>
      </c>
      <c r="J127" s="3"/>
      <c r="K127" s="3"/>
      <c r="L127" s="3"/>
      <c r="M127" s="3"/>
      <c r="N127" s="3"/>
      <c r="P127" s="3"/>
      <c r="R127" s="3"/>
      <c r="S127" s="35"/>
    </row>
    <row r="128" spans="2:19">
      <c r="B128" s="28" t="s">
        <v>508</v>
      </c>
      <c r="C128" s="28"/>
      <c r="D128" s="6" t="s">
        <v>513</v>
      </c>
      <c r="E128" s="46" t="s">
        <v>510</v>
      </c>
      <c r="F128" s="24">
        <v>205.77</v>
      </c>
      <c r="G128" s="31" t="s">
        <v>514</v>
      </c>
      <c r="H128" s="45" t="str">
        <f t="shared" si="1"/>
        <v>R$ 205,77</v>
      </c>
      <c r="I128" s="4" t="str">
        <f t="shared" si="2"/>
        <v>Municipio de São José-R$ 205,77;</v>
      </c>
      <c r="J128" s="3"/>
      <c r="K128" s="3"/>
      <c r="L128" s="3"/>
      <c r="M128" s="3"/>
      <c r="N128" s="3"/>
      <c r="P128" s="3"/>
      <c r="R128" s="3"/>
      <c r="S128" s="35"/>
    </row>
    <row r="129" spans="2:19">
      <c r="B129" s="525" t="s">
        <v>56</v>
      </c>
      <c r="C129" s="526"/>
      <c r="D129" s="526"/>
      <c r="E129" s="527"/>
      <c r="F129" s="49">
        <f>SUM(F88:F128)</f>
        <v>116526.03</v>
      </c>
      <c r="G129" s="48"/>
      <c r="H129" s="45" t="str">
        <f t="shared" si="1"/>
        <v>R$ 116526,03</v>
      </c>
      <c r="I129" s="4" t="str">
        <f t="shared" si="2"/>
        <v>TOTAL-R$ 116526,03;</v>
      </c>
      <c r="J129" s="3"/>
      <c r="K129" s="3"/>
      <c r="L129" s="3"/>
      <c r="M129" s="3"/>
      <c r="N129" s="3"/>
      <c r="P129" s="3"/>
      <c r="R129" s="3"/>
      <c r="S129" s="35"/>
    </row>
    <row r="130" spans="2:19">
      <c r="D130" s="44"/>
      <c r="E130" s="44"/>
      <c r="F130" s="44"/>
      <c r="G130" s="44"/>
      <c r="I130" s="3"/>
      <c r="J130" s="3"/>
      <c r="K130" s="3"/>
      <c r="L130" s="3"/>
      <c r="M130" s="3"/>
      <c r="N130" s="3"/>
      <c r="P130" s="3"/>
      <c r="R130" s="3"/>
      <c r="S130" s="35"/>
    </row>
    <row r="131" spans="2:19">
      <c r="B131" s="37" t="s">
        <v>538</v>
      </c>
      <c r="C131" s="37"/>
      <c r="D131" s="44"/>
      <c r="E131" s="44"/>
      <c r="F131" s="44"/>
      <c r="G131" s="44"/>
      <c r="I131" s="3"/>
      <c r="J131" s="3"/>
      <c r="K131" s="3"/>
      <c r="L131" s="3"/>
      <c r="M131" s="3"/>
      <c r="N131" s="3"/>
      <c r="P131" s="3"/>
      <c r="R131" s="3"/>
      <c r="S131" s="35"/>
    </row>
    <row r="132" spans="2:19">
      <c r="B132" s="515" t="s">
        <v>451</v>
      </c>
      <c r="C132" s="515"/>
      <c r="D132" s="515"/>
      <c r="E132" s="515"/>
      <c r="F132" s="515"/>
      <c r="G132" s="515"/>
      <c r="I132" s="3"/>
      <c r="J132" s="3"/>
      <c r="K132" s="3"/>
      <c r="L132" s="3"/>
      <c r="M132" s="3"/>
      <c r="N132" s="3"/>
      <c r="P132" s="3"/>
      <c r="R132" s="3"/>
      <c r="S132" s="35"/>
    </row>
    <row r="133" spans="2:19" ht="26.25">
      <c r="B133" s="42" t="s">
        <v>423</v>
      </c>
      <c r="C133" s="42"/>
      <c r="D133" s="42" t="s">
        <v>45</v>
      </c>
      <c r="E133" s="42" t="s">
        <v>66</v>
      </c>
      <c r="F133" s="43" t="s">
        <v>525</v>
      </c>
      <c r="G133" s="42" t="s">
        <v>94</v>
      </c>
      <c r="I133" s="3"/>
      <c r="J133" s="3"/>
      <c r="K133" s="3"/>
      <c r="L133" s="3"/>
      <c r="M133" s="3"/>
      <c r="N133" s="3"/>
      <c r="P133" s="3"/>
      <c r="R133" s="3"/>
      <c r="S133" s="35"/>
    </row>
    <row r="134" spans="2:19">
      <c r="B134" s="21" t="s">
        <v>424</v>
      </c>
      <c r="C134" s="21"/>
      <c r="D134" s="27" t="s">
        <v>486</v>
      </c>
      <c r="E134" s="38" t="s">
        <v>487</v>
      </c>
      <c r="F134" s="7">
        <v>3607.77</v>
      </c>
      <c r="G134" s="34" t="s">
        <v>523</v>
      </c>
      <c r="I134" s="3"/>
      <c r="J134" s="3"/>
      <c r="K134" s="3"/>
      <c r="L134" s="3"/>
      <c r="M134" s="3"/>
      <c r="N134" s="3"/>
      <c r="P134" s="3"/>
      <c r="R134" s="3"/>
      <c r="S134" s="35"/>
    </row>
    <row r="135" spans="2:19">
      <c r="B135" s="21" t="s">
        <v>424</v>
      </c>
      <c r="C135" s="21"/>
      <c r="D135" s="27" t="s">
        <v>486</v>
      </c>
      <c r="E135" s="38" t="s">
        <v>488</v>
      </c>
      <c r="F135" s="7">
        <v>3606.98</v>
      </c>
      <c r="G135" s="34" t="s">
        <v>523</v>
      </c>
      <c r="I135" s="3"/>
      <c r="J135" s="3"/>
      <c r="K135" s="3"/>
      <c r="L135" s="3"/>
      <c r="M135" s="3"/>
      <c r="N135" s="3"/>
      <c r="P135" s="3"/>
      <c r="R135" s="3"/>
      <c r="S135" s="35"/>
    </row>
    <row r="136" spans="2:19">
      <c r="B136" s="21" t="s">
        <v>424</v>
      </c>
      <c r="C136" s="21"/>
      <c r="D136" s="27" t="s">
        <v>486</v>
      </c>
      <c r="E136" s="38" t="s">
        <v>489</v>
      </c>
      <c r="F136" s="7">
        <v>2722.65</v>
      </c>
      <c r="G136" s="34" t="s">
        <v>523</v>
      </c>
      <c r="I136" s="3"/>
      <c r="J136" s="3"/>
      <c r="K136" s="3"/>
      <c r="L136" s="3"/>
      <c r="M136" s="3"/>
      <c r="N136" s="3"/>
      <c r="P136" s="3"/>
      <c r="R136" s="3"/>
      <c r="S136" s="35"/>
    </row>
    <row r="137" spans="2:19">
      <c r="B137" s="21" t="s">
        <v>424</v>
      </c>
      <c r="C137" s="21"/>
      <c r="D137" s="27" t="s">
        <v>486</v>
      </c>
      <c r="E137" s="38" t="s">
        <v>490</v>
      </c>
      <c r="F137" s="7">
        <v>908.7</v>
      </c>
      <c r="G137" s="34" t="s">
        <v>523</v>
      </c>
      <c r="I137" s="3"/>
      <c r="J137" s="3"/>
      <c r="K137" s="3"/>
      <c r="L137" s="3"/>
      <c r="M137" s="3"/>
      <c r="N137" s="3"/>
      <c r="P137" s="3"/>
      <c r="R137" s="3"/>
      <c r="S137" s="35"/>
    </row>
    <row r="138" spans="2:19">
      <c r="B138" s="21" t="s">
        <v>424</v>
      </c>
      <c r="C138" s="21"/>
      <c r="D138" s="27" t="s">
        <v>486</v>
      </c>
      <c r="E138" s="38" t="s">
        <v>491</v>
      </c>
      <c r="F138" s="7">
        <v>1299.8</v>
      </c>
      <c r="G138" s="34" t="s">
        <v>523</v>
      </c>
      <c r="I138" s="3"/>
      <c r="J138" s="3"/>
      <c r="K138" s="3"/>
      <c r="L138" s="3"/>
      <c r="M138" s="3"/>
      <c r="N138" s="3"/>
      <c r="P138" s="3"/>
      <c r="R138" s="3"/>
      <c r="S138" s="35"/>
    </row>
    <row r="139" spans="2:19">
      <c r="B139" s="21" t="s">
        <v>424</v>
      </c>
      <c r="C139" s="21"/>
      <c r="D139" s="27" t="s">
        <v>486</v>
      </c>
      <c r="E139" s="38" t="s">
        <v>492</v>
      </c>
      <c r="F139" s="7">
        <v>3597.66</v>
      </c>
      <c r="G139" s="34" t="s">
        <v>523</v>
      </c>
      <c r="I139" s="3"/>
      <c r="J139" s="3"/>
      <c r="K139" s="3"/>
      <c r="L139" s="3"/>
      <c r="M139" s="3"/>
      <c r="N139" s="3"/>
      <c r="P139" s="3"/>
      <c r="R139" s="3"/>
      <c r="S139" s="35"/>
    </row>
    <row r="140" spans="2:19">
      <c r="B140" s="21" t="s">
        <v>424</v>
      </c>
      <c r="C140" s="21"/>
      <c r="D140" s="27" t="s">
        <v>486</v>
      </c>
      <c r="E140" s="38" t="s">
        <v>504</v>
      </c>
      <c r="F140" s="63">
        <v>4123.29</v>
      </c>
      <c r="G140" s="34" t="s">
        <v>523</v>
      </c>
      <c r="I140" s="3"/>
      <c r="J140" s="3"/>
      <c r="K140" s="3"/>
      <c r="L140" s="3"/>
      <c r="M140" s="3"/>
      <c r="N140" s="3"/>
      <c r="P140" s="3"/>
      <c r="R140" s="3"/>
      <c r="S140" s="35"/>
    </row>
    <row r="141" spans="2:19">
      <c r="B141" s="21" t="s">
        <v>424</v>
      </c>
      <c r="C141" s="21"/>
      <c r="D141" s="27" t="s">
        <v>486</v>
      </c>
      <c r="E141" s="38" t="s">
        <v>493</v>
      </c>
      <c r="F141" s="63">
        <v>14728.18</v>
      </c>
      <c r="G141" s="34" t="s">
        <v>523</v>
      </c>
      <c r="I141" s="3"/>
      <c r="J141" s="3"/>
      <c r="K141" s="3"/>
      <c r="L141" s="3"/>
      <c r="M141" s="3"/>
      <c r="N141" s="3"/>
      <c r="P141" s="3"/>
      <c r="R141" s="3"/>
      <c r="S141" s="35"/>
    </row>
    <row r="142" spans="2:19">
      <c r="B142" s="21" t="s">
        <v>424</v>
      </c>
      <c r="C142" s="21"/>
      <c r="D142" s="27" t="s">
        <v>486</v>
      </c>
      <c r="E142" s="38" t="s">
        <v>494</v>
      </c>
      <c r="F142" s="63">
        <v>1798.81</v>
      </c>
      <c r="G142" s="34" t="s">
        <v>523</v>
      </c>
      <c r="I142" s="3"/>
      <c r="J142" s="3"/>
      <c r="K142" s="3"/>
      <c r="L142" s="3"/>
      <c r="M142" s="3"/>
      <c r="N142" s="3"/>
      <c r="P142" s="3"/>
      <c r="R142" s="3"/>
      <c r="S142" s="35"/>
    </row>
    <row r="143" spans="2:19">
      <c r="B143" s="21" t="s">
        <v>424</v>
      </c>
      <c r="C143" s="21"/>
      <c r="D143" s="27" t="s">
        <v>486</v>
      </c>
      <c r="E143" s="38" t="s">
        <v>495</v>
      </c>
      <c r="F143" s="63">
        <v>4854.78</v>
      </c>
      <c r="G143" s="34" t="s">
        <v>523</v>
      </c>
      <c r="I143" s="3"/>
      <c r="J143" s="3"/>
      <c r="K143" s="3"/>
      <c r="L143" s="3"/>
      <c r="M143" s="3"/>
      <c r="N143" s="3"/>
      <c r="P143" s="3"/>
      <c r="R143" s="3"/>
      <c r="S143" s="35"/>
    </row>
    <row r="144" spans="2:19">
      <c r="B144" s="21" t="s">
        <v>424</v>
      </c>
      <c r="C144" s="21"/>
      <c r="D144" s="27" t="s">
        <v>486</v>
      </c>
      <c r="E144" s="38" t="s">
        <v>496</v>
      </c>
      <c r="F144" s="63">
        <v>8982.68</v>
      </c>
      <c r="G144" s="34" t="s">
        <v>523</v>
      </c>
      <c r="I144" s="3"/>
      <c r="J144" s="3"/>
      <c r="K144" s="3"/>
      <c r="L144" s="3"/>
      <c r="M144" s="3"/>
      <c r="N144" s="3"/>
      <c r="P144" s="3"/>
      <c r="R144" s="3"/>
      <c r="S144" s="35"/>
    </row>
    <row r="145" spans="2:19">
      <c r="B145" s="21" t="s">
        <v>424</v>
      </c>
      <c r="C145" s="21"/>
      <c r="D145" s="27" t="s">
        <v>486</v>
      </c>
      <c r="E145" s="38" t="s">
        <v>497</v>
      </c>
      <c r="F145" s="63">
        <v>1299.8</v>
      </c>
      <c r="G145" s="34" t="s">
        <v>523</v>
      </c>
      <c r="I145" s="3"/>
      <c r="J145" s="3"/>
      <c r="K145" s="3"/>
      <c r="L145" s="3"/>
      <c r="M145" s="3"/>
      <c r="N145" s="3"/>
      <c r="P145" s="3"/>
      <c r="R145" s="3"/>
      <c r="S145" s="35"/>
    </row>
    <row r="146" spans="2:19">
      <c r="B146" s="21" t="s">
        <v>424</v>
      </c>
      <c r="C146" s="21"/>
      <c r="D146" s="27" t="s">
        <v>486</v>
      </c>
      <c r="E146" s="38" t="s">
        <v>498</v>
      </c>
      <c r="F146" s="63">
        <v>2698.77</v>
      </c>
      <c r="G146" s="34" t="s">
        <v>523</v>
      </c>
      <c r="I146" s="3"/>
      <c r="J146" s="3"/>
      <c r="K146" s="3"/>
      <c r="L146" s="3"/>
      <c r="M146" s="3"/>
      <c r="N146" s="3"/>
      <c r="P146" s="3"/>
      <c r="R146" s="3"/>
      <c r="S146" s="35"/>
    </row>
    <row r="147" spans="2:19">
      <c r="B147" s="21" t="s">
        <v>424</v>
      </c>
      <c r="C147" s="21"/>
      <c r="D147" s="27" t="s">
        <v>486</v>
      </c>
      <c r="E147" s="38" t="s">
        <v>499</v>
      </c>
      <c r="F147" s="63">
        <v>3602.34</v>
      </c>
      <c r="G147" s="34" t="s">
        <v>523</v>
      </c>
      <c r="I147" s="3"/>
      <c r="J147" s="3"/>
      <c r="K147" s="3"/>
      <c r="L147" s="3"/>
      <c r="M147" s="3"/>
      <c r="N147" s="3"/>
      <c r="P147" s="3"/>
      <c r="R147" s="3"/>
      <c r="S147" s="35"/>
    </row>
    <row r="148" spans="2:19">
      <c r="B148" s="21" t="s">
        <v>424</v>
      </c>
      <c r="C148" s="21"/>
      <c r="D148" s="27" t="s">
        <v>486</v>
      </c>
      <c r="E148" s="38" t="s">
        <v>500</v>
      </c>
      <c r="F148" s="63">
        <v>7007.37</v>
      </c>
      <c r="G148" s="34" t="s">
        <v>523</v>
      </c>
      <c r="I148" s="36"/>
      <c r="J148" s="36"/>
      <c r="K148" s="36"/>
      <c r="L148" s="36"/>
      <c r="M148" s="36"/>
      <c r="N148" s="36"/>
      <c r="O148" s="82"/>
      <c r="P148" s="36"/>
      <c r="Q148" s="82"/>
      <c r="R148" s="36"/>
      <c r="S148" s="37"/>
    </row>
    <row r="149" spans="2:19">
      <c r="B149" s="21" t="s">
        <v>424</v>
      </c>
      <c r="C149" s="21"/>
      <c r="D149" s="27" t="s">
        <v>486</v>
      </c>
      <c r="E149" s="38" t="s">
        <v>501</v>
      </c>
      <c r="F149" s="7">
        <v>6279.72</v>
      </c>
      <c r="G149" s="34" t="s">
        <v>523</v>
      </c>
    </row>
    <row r="150" spans="2:19">
      <c r="B150" s="21" t="s">
        <v>424</v>
      </c>
      <c r="C150" s="21"/>
      <c r="D150" s="27" t="s">
        <v>486</v>
      </c>
      <c r="E150" s="38" t="s">
        <v>502</v>
      </c>
      <c r="F150" s="7">
        <v>3602.34</v>
      </c>
      <c r="G150" s="34" t="s">
        <v>523</v>
      </c>
    </row>
    <row r="151" spans="2:19">
      <c r="B151" s="21" t="s">
        <v>424</v>
      </c>
      <c r="C151" s="21"/>
      <c r="D151" s="27" t="s">
        <v>486</v>
      </c>
      <c r="E151" s="38" t="s">
        <v>503</v>
      </c>
      <c r="F151" s="7">
        <v>3577.14</v>
      </c>
      <c r="G151" s="34" t="s">
        <v>523</v>
      </c>
    </row>
    <row r="152" spans="2:19">
      <c r="B152" s="21" t="s">
        <v>424</v>
      </c>
      <c r="C152" s="21"/>
      <c r="D152" s="21" t="s">
        <v>135</v>
      </c>
      <c r="E152" s="47"/>
      <c r="F152" s="40">
        <f>60*500</f>
        <v>30000</v>
      </c>
      <c r="G152" s="38" t="s">
        <v>526</v>
      </c>
    </row>
    <row r="153" spans="2:19">
      <c r="B153" s="6" t="s">
        <v>505</v>
      </c>
      <c r="C153" s="6"/>
      <c r="D153" s="6" t="s">
        <v>61</v>
      </c>
      <c r="E153" s="46">
        <v>1999</v>
      </c>
      <c r="F153" s="7">
        <v>129.66</v>
      </c>
      <c r="G153" s="38" t="s">
        <v>527</v>
      </c>
    </row>
    <row r="154" spans="2:19">
      <c r="B154" s="6" t="s">
        <v>505</v>
      </c>
      <c r="C154" s="6"/>
      <c r="D154" s="6" t="s">
        <v>61</v>
      </c>
      <c r="E154" s="46">
        <v>2000</v>
      </c>
      <c r="F154" s="7">
        <v>129.66</v>
      </c>
      <c r="G154" s="38" t="s">
        <v>527</v>
      </c>
    </row>
    <row r="155" spans="2:19">
      <c r="B155" s="6" t="s">
        <v>505</v>
      </c>
      <c r="C155" s="6"/>
      <c r="D155" s="6" t="s">
        <v>61</v>
      </c>
      <c r="E155" s="46">
        <v>2001</v>
      </c>
      <c r="F155" s="7">
        <v>143.72</v>
      </c>
      <c r="G155" s="38" t="s">
        <v>527</v>
      </c>
    </row>
    <row r="156" spans="2:19">
      <c r="B156" s="6" t="s">
        <v>505</v>
      </c>
      <c r="C156" s="6"/>
      <c r="D156" s="6" t="s">
        <v>61</v>
      </c>
      <c r="E156" s="46">
        <v>2002</v>
      </c>
      <c r="F156" s="7">
        <v>146.55000000000001</v>
      </c>
      <c r="G156" s="38" t="s">
        <v>527</v>
      </c>
    </row>
    <row r="157" spans="2:19">
      <c r="B157" s="6" t="s">
        <v>505</v>
      </c>
      <c r="C157" s="6"/>
      <c r="D157" s="6" t="s">
        <v>60</v>
      </c>
      <c r="E157" s="46">
        <v>2003</v>
      </c>
      <c r="F157" s="7">
        <v>152.59</v>
      </c>
      <c r="G157" s="38" t="s">
        <v>527</v>
      </c>
    </row>
    <row r="158" spans="2:19">
      <c r="B158" s="6" t="s">
        <v>505</v>
      </c>
      <c r="C158" s="6"/>
      <c r="D158" s="6" t="s">
        <v>61</v>
      </c>
      <c r="E158" s="46">
        <v>2004</v>
      </c>
      <c r="F158" s="7">
        <v>150.56</v>
      </c>
      <c r="G158" s="38" t="s">
        <v>527</v>
      </c>
    </row>
    <row r="159" spans="2:19">
      <c r="B159" s="6" t="s">
        <v>505</v>
      </c>
      <c r="C159" s="6"/>
      <c r="D159" s="6" t="s">
        <v>60</v>
      </c>
      <c r="E159" s="46">
        <v>2005</v>
      </c>
      <c r="F159" s="7">
        <v>157.77000000000001</v>
      </c>
      <c r="G159" s="38" t="s">
        <v>527</v>
      </c>
    </row>
    <row r="160" spans="2:19">
      <c r="B160" s="6" t="s">
        <v>505</v>
      </c>
      <c r="C160" s="6"/>
      <c r="D160" s="6" t="s">
        <v>60</v>
      </c>
      <c r="E160" s="46">
        <v>2006</v>
      </c>
      <c r="F160" s="7">
        <v>172.23</v>
      </c>
      <c r="G160" s="38" t="s">
        <v>527</v>
      </c>
    </row>
    <row r="161" spans="2:7">
      <c r="B161" s="6" t="s">
        <v>505</v>
      </c>
      <c r="C161" s="6"/>
      <c r="D161" s="6" t="s">
        <v>60</v>
      </c>
      <c r="E161" s="46">
        <v>2007</v>
      </c>
      <c r="F161" s="7">
        <v>292.33999999999997</v>
      </c>
      <c r="G161" s="38" t="s">
        <v>527</v>
      </c>
    </row>
    <row r="162" spans="2:7">
      <c r="B162" s="6" t="s">
        <v>505</v>
      </c>
      <c r="C162" s="6"/>
      <c r="D162" s="6" t="s">
        <v>60</v>
      </c>
      <c r="E162" s="46">
        <v>2008</v>
      </c>
      <c r="F162" s="7">
        <v>290.37</v>
      </c>
      <c r="G162" s="38" t="s">
        <v>527</v>
      </c>
    </row>
    <row r="163" spans="2:7">
      <c r="B163" s="6" t="s">
        <v>505</v>
      </c>
      <c r="C163" s="6"/>
      <c r="D163" s="6" t="s">
        <v>60</v>
      </c>
      <c r="E163" s="46">
        <v>2009</v>
      </c>
      <c r="F163" s="7">
        <v>181.99</v>
      </c>
      <c r="G163" s="38" t="s">
        <v>527</v>
      </c>
    </row>
    <row r="164" spans="2:7">
      <c r="B164" s="6" t="s">
        <v>505</v>
      </c>
      <c r="C164" s="6"/>
      <c r="D164" s="6" t="s">
        <v>60</v>
      </c>
      <c r="E164" s="46">
        <v>2010</v>
      </c>
      <c r="F164" s="7">
        <v>185.71</v>
      </c>
      <c r="G164" s="38" t="s">
        <v>527</v>
      </c>
    </row>
    <row r="165" spans="2:7">
      <c r="B165" s="6" t="s">
        <v>505</v>
      </c>
      <c r="C165" s="6"/>
      <c r="D165" s="6" t="s">
        <v>60</v>
      </c>
      <c r="E165" s="46">
        <v>2011</v>
      </c>
      <c r="F165" s="7">
        <v>196.9</v>
      </c>
      <c r="G165" s="38" t="s">
        <v>527</v>
      </c>
    </row>
    <row r="166" spans="2:7">
      <c r="B166" s="6" t="s">
        <v>505</v>
      </c>
      <c r="C166" s="6"/>
      <c r="D166" s="6" t="s">
        <v>60</v>
      </c>
      <c r="E166" s="46">
        <v>2012</v>
      </c>
      <c r="F166" s="7">
        <v>651.49</v>
      </c>
      <c r="G166" s="38" t="s">
        <v>527</v>
      </c>
    </row>
    <row r="167" spans="2:7">
      <c r="B167" s="6" t="s">
        <v>505</v>
      </c>
      <c r="C167" s="6"/>
      <c r="D167" s="6" t="s">
        <v>60</v>
      </c>
      <c r="E167" s="46">
        <v>2013</v>
      </c>
      <c r="F167" s="7">
        <v>687</v>
      </c>
      <c r="G167" s="38" t="s">
        <v>527</v>
      </c>
    </row>
    <row r="168" spans="2:7">
      <c r="B168" s="6" t="s">
        <v>505</v>
      </c>
      <c r="C168" s="6"/>
      <c r="D168" s="6" t="s">
        <v>60</v>
      </c>
      <c r="E168" s="46">
        <v>2014</v>
      </c>
      <c r="F168" s="7">
        <v>727.2</v>
      </c>
      <c r="G168" s="38" t="s">
        <v>527</v>
      </c>
    </row>
    <row r="169" spans="2:7">
      <c r="B169" s="6" t="s">
        <v>505</v>
      </c>
      <c r="C169" s="6"/>
      <c r="D169" s="6" t="s">
        <v>60</v>
      </c>
      <c r="E169" s="46">
        <v>2015</v>
      </c>
      <c r="F169" s="7">
        <v>775.1</v>
      </c>
      <c r="G169" s="38" t="s">
        <v>527</v>
      </c>
    </row>
    <row r="170" spans="2:7">
      <c r="B170" s="6" t="s">
        <v>505</v>
      </c>
      <c r="C170" s="6"/>
      <c r="D170" s="6" t="s">
        <v>61</v>
      </c>
      <c r="E170" s="46">
        <v>2016</v>
      </c>
      <c r="F170" s="7">
        <v>851.5</v>
      </c>
      <c r="G170" s="38" t="s">
        <v>527</v>
      </c>
    </row>
    <row r="171" spans="2:7">
      <c r="B171" s="6" t="s">
        <v>505</v>
      </c>
      <c r="C171" s="6"/>
      <c r="D171" s="6" t="s">
        <v>61</v>
      </c>
      <c r="E171" s="46">
        <v>2017</v>
      </c>
      <c r="F171" s="7">
        <v>918.9</v>
      </c>
      <c r="G171" s="38" t="s">
        <v>527</v>
      </c>
    </row>
    <row r="172" spans="2:7">
      <c r="B172" s="6" t="s">
        <v>505</v>
      </c>
      <c r="C172" s="6"/>
      <c r="D172" s="6" t="s">
        <v>61</v>
      </c>
      <c r="E172" s="46">
        <v>2018</v>
      </c>
      <c r="F172" s="7">
        <v>941.89</v>
      </c>
      <c r="G172" s="38" t="s">
        <v>527</v>
      </c>
    </row>
    <row r="173" spans="2:7">
      <c r="B173" s="28" t="s">
        <v>508</v>
      </c>
      <c r="C173" s="28"/>
      <c r="D173" s="6" t="s">
        <v>509</v>
      </c>
      <c r="E173" s="46" t="s">
        <v>510</v>
      </c>
      <c r="F173" s="7">
        <v>138.35</v>
      </c>
      <c r="G173" s="53" t="s">
        <v>507</v>
      </c>
    </row>
    <row r="174" spans="2:7">
      <c r="B174" s="28" t="s">
        <v>508</v>
      </c>
      <c r="C174" s="28"/>
      <c r="D174" s="6" t="s">
        <v>513</v>
      </c>
      <c r="E174" s="46" t="s">
        <v>510</v>
      </c>
      <c r="F174" s="24">
        <v>205.77</v>
      </c>
      <c r="G174" s="31" t="s">
        <v>514</v>
      </c>
    </row>
    <row r="175" spans="2:7">
      <c r="B175" s="516" t="s">
        <v>56</v>
      </c>
      <c r="C175" s="517"/>
      <c r="D175" s="517"/>
      <c r="E175" s="518"/>
      <c r="F175" s="71">
        <f>SUM(F134:F174)</f>
        <v>116526.03</v>
      </c>
      <c r="G175" s="72"/>
    </row>
  </sheetData>
  <mergeCells count="17">
    <mergeCell ref="B132:G132"/>
    <mergeCell ref="B175:E175"/>
    <mergeCell ref="B6:S6"/>
    <mergeCell ref="L7:N7"/>
    <mergeCell ref="O7:P7"/>
    <mergeCell ref="B86:G86"/>
    <mergeCell ref="B129:E129"/>
    <mergeCell ref="U87:Y87"/>
    <mergeCell ref="U94:W94"/>
    <mergeCell ref="W86:AA86"/>
    <mergeCell ref="B7:B8"/>
    <mergeCell ref="C7:C8"/>
    <mergeCell ref="D7:D8"/>
    <mergeCell ref="J7:J8"/>
    <mergeCell ref="I7:I8"/>
    <mergeCell ref="H7:H8"/>
    <mergeCell ref="Q7:R7"/>
  </mergeCells>
  <phoneticPr fontId="10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Plan1</vt:lpstr>
      <vt:lpstr>Resumo</vt:lpstr>
      <vt:lpstr>QGC - AJ</vt:lpstr>
      <vt:lpstr>QGC 29.05.26</vt:lpstr>
      <vt:lpstr>QGC 11.08.26</vt:lpstr>
      <vt:lpstr>PMJ</vt:lpstr>
      <vt:lpstr>INPC</vt:lpstr>
      <vt:lpstr>Pref-Trabalhistas</vt:lpstr>
      <vt:lpstr>Pref-Fiscal</vt:lpstr>
      <vt:lpstr>Pref-EncargoMassa</vt:lpstr>
      <vt:lpstr>Credores Quirografarios </vt:lpstr>
      <vt:lpstr>Multa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Carolina Ferrari</dc:creator>
  <cp:lastModifiedBy>Luiz Jung</cp:lastModifiedBy>
  <cp:lastPrinted>2026-08-11T17:37:18Z</cp:lastPrinted>
  <dcterms:created xsi:type="dcterms:W3CDTF">2014-06-12T13:36:51Z</dcterms:created>
  <dcterms:modified xsi:type="dcterms:W3CDTF">2026-09-01T15:44:34Z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118f73-f37b-4738-ae96-b73e01de8bed_Enabled">
    <vt:lpwstr>true</vt:lpwstr>
  </property>
  <property fmtid="{D5CDD505-2E9C-101B-9397-08002B2CF9AE}" pid="3" name="MSIP_Label_67118f73-f37b-4738-ae96-b73e01de8bed_SetDate">
    <vt:lpwstr>2026-05-12T21:37:33Z</vt:lpwstr>
  </property>
  <property fmtid="{D5CDD505-2E9C-101B-9397-08002B2CF9AE}" pid="4" name="MSIP_Label_67118f73-f37b-4738-ae96-b73e01de8bed_Method">
    <vt:lpwstr>Standard</vt:lpwstr>
  </property>
  <property fmtid="{D5CDD505-2E9C-101B-9397-08002B2CF9AE}" pid="5" name="MSIP_Label_67118f73-f37b-4738-ae96-b73e01de8bed_Name">
    <vt:lpwstr>Interno</vt:lpwstr>
  </property>
  <property fmtid="{D5CDD505-2E9C-101B-9397-08002B2CF9AE}" pid="6" name="MSIP_Label_67118f73-f37b-4738-ae96-b73e01de8bed_SiteId">
    <vt:lpwstr>032f6a2b-0333-4c62-b8ec-c51e7b48db57</vt:lpwstr>
  </property>
  <property fmtid="{D5CDD505-2E9C-101B-9397-08002B2CF9AE}" pid="7" name="MSIP_Label_67118f73-f37b-4738-ae96-b73e01de8bed_ActionId">
    <vt:lpwstr>32192325-bbd5-4e1e-b805-a274d6133c27</vt:lpwstr>
  </property>
  <property fmtid="{D5CDD505-2E9C-101B-9397-08002B2CF9AE}" pid="8" name="MSIP_Label_67118f73-f37b-4738-ae96-b73e01de8bed_ContentBits">
    <vt:lpwstr>0</vt:lpwstr>
  </property>
  <property fmtid="{D5CDD505-2E9C-101B-9397-08002B2CF9AE}" pid="9" name="MSIP_Label_67118f73-f37b-4738-ae96-b73e01de8bed_Tag">
    <vt:lpwstr>10, 3, 0, 1</vt:lpwstr>
  </property>
</Properties>
</file>